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2">Лист3!$A$1:$Q$37</definedName>
    <definedName name="_xlnm.Print_Area" localSheetId="3">Лист4!$A$1:$Q$43</definedName>
    <definedName name="_xlnm.Print_Area" localSheetId="4">Лист5!$A$1:$Q$38</definedName>
    <definedName name="_xlnm.Print_Area" localSheetId="5">Лист6!$A$1:$Q$44</definedName>
  </definedNames>
  <calcPr calcId="125725"/>
</workbook>
</file>

<file path=xl/calcChain.xml><?xml version="1.0" encoding="utf-8"?>
<calcChain xmlns="http://schemas.openxmlformats.org/spreadsheetml/2006/main">
  <c r="N37" i="1"/>
  <c r="N35"/>
  <c r="N34"/>
  <c r="N27"/>
  <c r="N26"/>
  <c r="N25"/>
  <c r="N24"/>
  <c r="N23"/>
  <c r="N22"/>
  <c r="N20"/>
  <c r="N17" i="6" l="1"/>
  <c r="N16"/>
  <c r="N15" i="5"/>
  <c r="N16" i="4"/>
  <c r="N15"/>
  <c r="N16" i="3"/>
  <c r="N18" i="2"/>
  <c r="N17"/>
  <c r="N16"/>
  <c r="O18" l="1"/>
  <c r="J18"/>
  <c r="J17"/>
  <c r="O16" i="3"/>
  <c r="J16"/>
  <c r="O15" i="5"/>
  <c r="J15"/>
  <c r="J17" i="6"/>
  <c r="J16"/>
  <c r="O17"/>
  <c r="O16"/>
  <c r="N36" i="1"/>
  <c r="O27"/>
  <c r="O26"/>
  <c r="O25"/>
  <c r="O24"/>
  <c r="O23"/>
  <c r="O22"/>
  <c r="O20"/>
  <c r="J37" l="1"/>
  <c r="J36"/>
  <c r="J35"/>
  <c r="J34"/>
  <c r="J22"/>
  <c r="J20"/>
  <c r="J23"/>
  <c r="J16" i="4" l="1"/>
  <c r="J16" i="2"/>
  <c r="K17" i="6"/>
  <c r="J15" l="1"/>
  <c r="N15" l="1"/>
  <c r="P17" i="2"/>
  <c r="O17" l="1"/>
  <c r="O16"/>
  <c r="O15" i="6" l="1"/>
  <c r="L17" i="2"/>
  <c r="L18"/>
  <c r="L16"/>
  <c r="L20" i="1"/>
  <c r="P16" i="3"/>
  <c r="M19" i="4"/>
  <c r="M29" i="6"/>
  <c r="M19"/>
  <c r="K16" l="1"/>
  <c r="H19" l="1"/>
  <c r="J18" i="5"/>
  <c r="L18"/>
  <c r="M18"/>
  <c r="M28" s="1"/>
  <c r="N18"/>
  <c r="O18"/>
  <c r="E18"/>
  <c r="H19" i="3"/>
  <c r="I19"/>
  <c r="J19"/>
  <c r="L19"/>
  <c r="M19"/>
  <c r="N19"/>
  <c r="O19"/>
  <c r="E19"/>
  <c r="K18" i="2"/>
  <c r="N19"/>
  <c r="O19"/>
  <c r="M19"/>
  <c r="H19"/>
  <c r="I19"/>
  <c r="J19"/>
  <c r="E19"/>
  <c r="H28" i="1"/>
  <c r="M28"/>
  <c r="L38"/>
  <c r="M38"/>
  <c r="N38"/>
  <c r="O38"/>
  <c r="F38"/>
  <c r="G38"/>
  <c r="H38"/>
  <c r="I38"/>
  <c r="J38"/>
  <c r="E38"/>
  <c r="N28" l="1"/>
  <c r="P17" i="6"/>
  <c r="Q17" s="1"/>
  <c r="P15" i="5"/>
  <c r="P18" s="1"/>
  <c r="K15"/>
  <c r="P16" i="4"/>
  <c r="K16"/>
  <c r="K16" i="3"/>
  <c r="P18" i="2"/>
  <c r="Q15" i="5" l="1"/>
  <c r="Q18" s="1"/>
  <c r="Q16" i="4"/>
  <c r="Q16" i="3"/>
  <c r="Q19" s="1"/>
  <c r="P19"/>
  <c r="P27" i="1"/>
  <c r="K27"/>
  <c r="I28"/>
  <c r="E28"/>
  <c r="Q27" l="1"/>
  <c r="O28" l="1"/>
  <c r="P37"/>
  <c r="K37" l="1"/>
  <c r="Q37" s="1"/>
  <c r="P26" l="1"/>
  <c r="P16" i="6"/>
  <c r="Q16" s="1"/>
  <c r="K26" i="1" l="1"/>
  <c r="Q26" s="1"/>
  <c r="K36" l="1"/>
  <c r="P36" l="1"/>
  <c r="Q36" s="1"/>
  <c r="P15" i="6"/>
  <c r="P19" s="1"/>
  <c r="J19"/>
  <c r="P34" i="1"/>
  <c r="P25"/>
  <c r="K22"/>
  <c r="P35"/>
  <c r="N19" i="6"/>
  <c r="P15" i="4"/>
  <c r="I42" i="1"/>
  <c r="K25"/>
  <c r="P19" i="2"/>
  <c r="O29"/>
  <c r="K15" i="6"/>
  <c r="K18"/>
  <c r="E19"/>
  <c r="I19"/>
  <c r="I29" s="1"/>
  <c r="E25"/>
  <c r="H25"/>
  <c r="I25"/>
  <c r="J25"/>
  <c r="K25"/>
  <c r="M25"/>
  <c r="N25"/>
  <c r="O25"/>
  <c r="P25"/>
  <c r="Q25"/>
  <c r="K17" i="5"/>
  <c r="K18" s="1"/>
  <c r="E24"/>
  <c r="H24"/>
  <c r="I24"/>
  <c r="J24"/>
  <c r="K24"/>
  <c r="M24"/>
  <c r="N24"/>
  <c r="O24"/>
  <c r="P24"/>
  <c r="Q24"/>
  <c r="H28"/>
  <c r="K15" i="4"/>
  <c r="K18"/>
  <c r="E19"/>
  <c r="H19"/>
  <c r="I19"/>
  <c r="J19"/>
  <c r="J29" s="1"/>
  <c r="E25"/>
  <c r="H25"/>
  <c r="I25"/>
  <c r="J25"/>
  <c r="K25"/>
  <c r="M25"/>
  <c r="P25" s="1"/>
  <c r="N25"/>
  <c r="O25"/>
  <c r="Q25"/>
  <c r="K18" i="3"/>
  <c r="K19" s="1"/>
  <c r="K29" s="1"/>
  <c r="E25"/>
  <c r="H25"/>
  <c r="H29" s="1"/>
  <c r="I25"/>
  <c r="I29" s="1"/>
  <c r="J25"/>
  <c r="J29" s="1"/>
  <c r="K25"/>
  <c r="M25"/>
  <c r="N25"/>
  <c r="O25"/>
  <c r="P25"/>
  <c r="Q25"/>
  <c r="K16" i="2"/>
  <c r="K17"/>
  <c r="Q18"/>
  <c r="I29"/>
  <c r="E25"/>
  <c r="H25"/>
  <c r="H29" s="1"/>
  <c r="I25"/>
  <c r="J25"/>
  <c r="J29" s="1"/>
  <c r="K25"/>
  <c r="M25"/>
  <c r="N25"/>
  <c r="O25"/>
  <c r="P25"/>
  <c r="Q25"/>
  <c r="K16" i="1"/>
  <c r="P16"/>
  <c r="K19"/>
  <c r="P19"/>
  <c r="K20"/>
  <c r="K21"/>
  <c r="P21"/>
  <c r="K23"/>
  <c r="K24"/>
  <c r="K31"/>
  <c r="P31"/>
  <c r="K32"/>
  <c r="P32"/>
  <c r="K35"/>
  <c r="N28" i="5"/>
  <c r="N19" i="4"/>
  <c r="N29" s="1"/>
  <c r="N29" i="2"/>
  <c r="P16"/>
  <c r="O19" i="4"/>
  <c r="O29" s="1"/>
  <c r="O19" i="6"/>
  <c r="O28" i="5"/>
  <c r="O29" i="6" l="1"/>
  <c r="P29"/>
  <c r="H29" i="4"/>
  <c r="I29"/>
  <c r="K19"/>
  <c r="K29" s="1"/>
  <c r="N29" i="6"/>
  <c r="K19"/>
  <c r="K29" s="1"/>
  <c r="Q15"/>
  <c r="Q19" s="1"/>
  <c r="I28" i="5"/>
  <c r="Q15" i="4"/>
  <c r="N29" i="3"/>
  <c r="O29"/>
  <c r="K19" i="2"/>
  <c r="K29" s="1"/>
  <c r="Q16"/>
  <c r="Q17"/>
  <c r="P38" i="1"/>
  <c r="Q19"/>
  <c r="H42"/>
  <c r="K28"/>
  <c r="Q21"/>
  <c r="Q16"/>
  <c r="Q31"/>
  <c r="K28" i="5"/>
  <c r="P29" i="4"/>
  <c r="H29" i="6"/>
  <c r="J29"/>
  <c r="P29" i="2"/>
  <c r="Q32" i="1"/>
  <c r="Q25"/>
  <c r="P19" i="4"/>
  <c r="P28" i="5"/>
  <c r="J28"/>
  <c r="P24" i="1"/>
  <c r="Q24" s="1"/>
  <c r="P23"/>
  <c r="Q23" s="1"/>
  <c r="O42"/>
  <c r="P22"/>
  <c r="Q22" s="1"/>
  <c r="P20"/>
  <c r="J28"/>
  <c r="J42" s="1"/>
  <c r="P29" i="3"/>
  <c r="Q29"/>
  <c r="K34" i="1"/>
  <c r="K38" s="1"/>
  <c r="Q35"/>
  <c r="Q19" i="4" l="1"/>
  <c r="Q29" s="1"/>
  <c r="Q19" i="2"/>
  <c r="Q29" s="1"/>
  <c r="P28" i="1"/>
  <c r="Q20"/>
  <c r="Q29" i="6"/>
  <c r="Q34" i="1"/>
  <c r="Q38" s="1"/>
  <c r="K42"/>
  <c r="Q28" i="5"/>
  <c r="N42" i="1"/>
  <c r="P42" l="1"/>
  <c r="Q28"/>
  <c r="Q42" s="1"/>
</calcChain>
</file>

<file path=xl/sharedStrings.xml><?xml version="1.0" encoding="utf-8"?>
<sst xmlns="http://schemas.openxmlformats.org/spreadsheetml/2006/main" count="276" uniqueCount="86">
  <si>
    <t>Наименование кредитора (принципала)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</si>
  <si>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</si>
  <si>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</si>
  <si>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</si>
  <si>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№ п/п</t>
  </si>
  <si>
    <t>Наименование долгового обязательства</t>
  </si>
  <si>
    <t>Дата возникновения обязательства по договору, № и дата документа</t>
  </si>
  <si>
    <t>Форма обеспечения обязательства, № и дата документа</t>
  </si>
  <si>
    <t>Образование долгового обязательства за отчетный период</t>
  </si>
  <si>
    <t>Погашение долгового обязательства за отчетный период</t>
  </si>
  <si>
    <t>Остаток долгового обязательства на начало отчетного периода</t>
  </si>
  <si>
    <t>Остаток долга по процентам на начало отчетного периода</t>
  </si>
  <si>
    <t>Остаток  долга по процентам на конец отчетного периода</t>
  </si>
  <si>
    <t>Начислено процентов с начала отчетного периода</t>
  </si>
  <si>
    <t>Погашено процентов с начала отчетного периода</t>
  </si>
  <si>
    <t>Итого по разделу</t>
  </si>
  <si>
    <t>Остаток долговых обязательств на конец отчетного периода</t>
  </si>
  <si>
    <t xml:space="preserve">ВСЕГО муниципальный долг </t>
  </si>
  <si>
    <t>Всего муниципальный долг на конец отчетного периода</t>
  </si>
  <si>
    <t xml:space="preserve"> I.   Муниципальные ценные бумаги</t>
  </si>
  <si>
    <t xml:space="preserve"> II. Бюджетные кредиты, привлеченные в местный бюджет от других бюджетов бюджетной системы Российской Федерации</t>
  </si>
  <si>
    <t xml:space="preserve"> III. Кредиты, полученные муниципальным образованием от кредитных организаций</t>
  </si>
  <si>
    <t>(рублей)</t>
  </si>
  <si>
    <t>Приложение № 2 к приказу № 91 от 19 марта 2009 года</t>
  </si>
  <si>
    <t xml:space="preserve">               Бюджетный кредит</t>
  </si>
  <si>
    <t>Муниципальная долговая книга Пудожского района</t>
  </si>
  <si>
    <t>Министерство Финансов Республики Карелия</t>
  </si>
  <si>
    <t>Исп.Голованова И.Д. 5-13-61</t>
  </si>
  <si>
    <t>Бюджетный кредит</t>
  </si>
  <si>
    <t>Договор  N13-1 от 06.10.09</t>
  </si>
  <si>
    <t>Договор  N 8628-100510-01677 от 18.03.2010</t>
  </si>
  <si>
    <t>Акционерный коммерческий Сберегательный банк</t>
  </si>
  <si>
    <t>Администрация Пудожского муниципального района</t>
  </si>
  <si>
    <t>Договор  N 8628-1-101410-01677 от 28.10.2010</t>
  </si>
  <si>
    <t>27.10.2011.</t>
  </si>
  <si>
    <t>Договор  N13-1 от 23.11.10</t>
  </si>
  <si>
    <t>Коммерческий кредит</t>
  </si>
  <si>
    <t>Договор  N13-1 от 26.08.11</t>
  </si>
  <si>
    <t>Муниципальная долговая книга Шальского поселения</t>
  </si>
  <si>
    <t>Муниципальная долговая книга Кривецкого поселения</t>
  </si>
  <si>
    <t>Кредит</t>
  </si>
  <si>
    <t>Договор  N13-1 /12от  09.06.2012</t>
  </si>
  <si>
    <t>Договор  N 8628-1-100712-01677 от 08.08.2012</t>
  </si>
  <si>
    <t>Договор  N13-2 /12от  19.10.2012</t>
  </si>
  <si>
    <t>Договор  N 8628-1-100812-01677 от 20.12.2012</t>
  </si>
  <si>
    <t>Договор №2 от 24.12.2012</t>
  </si>
  <si>
    <t>Муниципальная долговая книга Пяльмского поселения</t>
  </si>
  <si>
    <t>Договор №1 от 24.12.2012</t>
  </si>
  <si>
    <t>Муниципальная долговая книга Авдеевского поселения</t>
  </si>
  <si>
    <t>Договор  N13-3 /12от  24.12.2012</t>
  </si>
  <si>
    <t>Казна муниципального образования</t>
  </si>
  <si>
    <t>Муниципальная долговая книга Красноборского поселения</t>
  </si>
  <si>
    <t>Договор №1 -АПМР от 25.01.2013</t>
  </si>
  <si>
    <t>Договор №2 от 19.04.2013</t>
  </si>
  <si>
    <t>Договор  N13-1/13 от  10.06.2013</t>
  </si>
  <si>
    <t>Муниципальный контракт N0106300008413000010-0226286 от 25.07.2013г.</t>
  </si>
  <si>
    <t>ОАО "СМП Банк"</t>
  </si>
  <si>
    <t>Договор  N13-2/13 от  03.10.2013</t>
  </si>
  <si>
    <t>Договор №3 -АПМР от 07.10.2013</t>
  </si>
  <si>
    <t>Муниципальный контракт N0106300008413000019-0226286-02 от 25.11.2013г.</t>
  </si>
  <si>
    <t>Договор  N13-3/13 от  25.12.2013</t>
  </si>
  <si>
    <t>Глава администрации муниципального образования                                                             В.Н.Ересов</t>
  </si>
  <si>
    <t xml:space="preserve">           4.</t>
  </si>
  <si>
    <t>Глава администрации муниципального образования                                                              В.Н.Ересов</t>
  </si>
  <si>
    <t>Глава администрации муниципального образования                                                               В.Н.Ересов</t>
  </si>
  <si>
    <t xml:space="preserve">Исполн.                  </t>
  </si>
  <si>
    <t>Глава администрации муниципального образования                                                                    В.Н.Ересов</t>
  </si>
  <si>
    <t xml:space="preserve">     Голованова И.Д.</t>
  </si>
  <si>
    <t>Исп. Голованова И.Д</t>
  </si>
  <si>
    <t>Договор №9 -АПМР от 25.12.2013</t>
  </si>
  <si>
    <t>Исполнитель</t>
  </si>
  <si>
    <t>И.Д.Голованова</t>
  </si>
  <si>
    <t>Глава администрации муниципального образования                                                                      В.Н.Ересов</t>
  </si>
  <si>
    <t>Договор №5-АПМР от 25.12.2013</t>
  </si>
  <si>
    <t>Договор № 6-АПМР от 25.12.2013</t>
  </si>
  <si>
    <t>Договор №4-АПМР от 25.12.2013</t>
  </si>
  <si>
    <t>Договор № 8-АПМР от 25.12.2013</t>
  </si>
  <si>
    <t xml:space="preserve"> руководителя финансового управления                                                                           Т.И.Черная</t>
  </si>
  <si>
    <t>И.о руководителя финансового управления                                                                              Т И Черная</t>
  </si>
  <si>
    <t>И.о руководителя финансового управления                                                                                  Т И Черная</t>
  </si>
  <si>
    <t>И.о руководителя финансового управления                                                                                Т И Черная</t>
  </si>
  <si>
    <t>И.о. руководителя финансового управления                                                                       Т И Черная</t>
  </si>
  <si>
    <t>И.о руководителя финансового управления                                                                                    Т И Черная</t>
  </si>
  <si>
    <t>по состоянию на 01 августа  2014 года</t>
  </si>
  <si>
    <t>по состоянию на 01 августа 2014 года</t>
  </si>
  <si>
    <t>по состоянию на 01  августа  2014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</si>
</sst>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8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4"/>
      <name val="Arial Cyr"/>
      <charset val="204"/>
    </font>
    <font>
      <sz val="11"/>
      <name val="Times New Roman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6"/>
      <name val="Arial Cyr"/>
      <charset val="204"/>
    </font>
    <font>
      <sz val="16"/>
      <name val="Times New Roman Cyr"/>
      <family val="1"/>
      <charset val="204"/>
    </font>
    <font>
      <sz val="16"/>
      <name val="Times New Roman Cyr"/>
      <charset val="204"/>
    </font>
    <font>
      <b/>
      <i/>
      <sz val="16"/>
      <name val="Times New Roman Cyr"/>
      <family val="1"/>
      <charset val="204"/>
    </font>
    <font>
      <b/>
      <sz val="16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b/>
      <i/>
      <sz val="14"/>
      <name val="Times New Roman Cyr"/>
      <family val="1"/>
      <charset val="204"/>
    </font>
    <font>
      <sz val="11"/>
      <color rgb="FFFF0000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b/>
      <sz val="11"/>
      <color rgb="FFC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justify" wrapText="1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2" xfId="0" applyFont="1" applyBorder="1" applyAlignment="1">
      <alignment horizontal="justify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0" xfId="0" applyFont="1" applyAlignment="1">
      <alignment horizontal="center" wrapText="1"/>
    </xf>
    <xf numFmtId="0" fontId="10" fillId="0" borderId="6" xfId="0" applyFont="1" applyBorder="1" applyAlignment="1"/>
    <xf numFmtId="0" fontId="10" fillId="0" borderId="3" xfId="0" applyFont="1" applyBorder="1" applyAlignment="1"/>
    <xf numFmtId="0" fontId="5" fillId="0" borderId="6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2" fontId="2" fillId="0" borderId="3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6" xfId="0" applyFont="1" applyBorder="1" applyAlignment="1">
      <alignment wrapText="1"/>
    </xf>
    <xf numFmtId="0" fontId="2" fillId="0" borderId="2" xfId="0" applyFont="1" applyBorder="1" applyAlignment="1">
      <alignment horizontal="justify" wrapText="1"/>
    </xf>
    <xf numFmtId="14" fontId="10" fillId="0" borderId="2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8" xfId="0" applyFont="1" applyBorder="1"/>
    <xf numFmtId="0" fontId="10" fillId="0" borderId="12" xfId="0" applyFont="1" applyBorder="1" applyAlignment="1"/>
    <xf numFmtId="2" fontId="2" fillId="0" borderId="3" xfId="0" applyNumberFormat="1" applyFont="1" applyBorder="1" applyAlignment="1">
      <alignment horizontal="center" vertical="center"/>
    </xf>
    <xf numFmtId="0" fontId="3" fillId="0" borderId="13" xfId="0" applyFont="1" applyBorder="1"/>
    <xf numFmtId="2" fontId="1" fillId="0" borderId="0" xfId="0" applyNumberFormat="1" applyFont="1"/>
    <xf numFmtId="0" fontId="3" fillId="0" borderId="12" xfId="0" applyFont="1" applyBorder="1"/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0" fontId="16" fillId="0" borderId="0" xfId="0" applyFont="1" applyAlignment="1"/>
    <xf numFmtId="0" fontId="16" fillId="0" borderId="0" xfId="0" applyFont="1" applyAlignment="1">
      <alignment horizontal="justify"/>
    </xf>
    <xf numFmtId="0" fontId="18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justify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/>
    <xf numFmtId="0" fontId="16" fillId="0" borderId="3" xfId="0" applyFont="1" applyBorder="1" applyAlignment="1"/>
    <xf numFmtId="0" fontId="18" fillId="0" borderId="1" xfId="0" applyFont="1" applyBorder="1"/>
    <xf numFmtId="0" fontId="16" fillId="0" borderId="2" xfId="0" applyFont="1" applyBorder="1" applyAlignment="1">
      <alignment horizontal="justify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0" fontId="21" fillId="0" borderId="6" xfId="0" applyFont="1" applyBorder="1" applyAlignment="1"/>
    <xf numFmtId="0" fontId="21" fillId="0" borderId="3" xfId="0" applyFont="1" applyBorder="1" applyAlignment="1"/>
    <xf numFmtId="164" fontId="16" fillId="0" borderId="0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2" fontId="16" fillId="0" borderId="3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64" fontId="16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justify" wrapText="1"/>
    </xf>
    <xf numFmtId="0" fontId="20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wrapText="1"/>
    </xf>
    <xf numFmtId="0" fontId="16" fillId="0" borderId="2" xfId="0" applyFont="1" applyBorder="1" applyAlignment="1">
      <alignment vertical="center"/>
    </xf>
    <xf numFmtId="0" fontId="18" fillId="0" borderId="5" xfId="0" applyFont="1" applyBorder="1"/>
    <xf numFmtId="0" fontId="18" fillId="0" borderId="8" xfId="0" applyFont="1" applyBorder="1"/>
    <xf numFmtId="2" fontId="16" fillId="0" borderId="3" xfId="0" applyNumberFormat="1" applyFont="1" applyBorder="1" applyAlignment="1">
      <alignment horizontal="center" vertical="center"/>
    </xf>
    <xf numFmtId="0" fontId="18" fillId="0" borderId="13" xfId="0" applyFont="1" applyBorder="1"/>
    <xf numFmtId="0" fontId="21" fillId="0" borderId="12" xfId="0" applyFont="1" applyBorder="1" applyAlignment="1"/>
    <xf numFmtId="0" fontId="18" fillId="0" borderId="4" xfId="0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164" fontId="21" fillId="0" borderId="5" xfId="0" applyNumberFormat="1" applyFont="1" applyBorder="1" applyAlignment="1">
      <alignment vertical="center"/>
    </xf>
    <xf numFmtId="0" fontId="18" fillId="0" borderId="0" xfId="0" applyFont="1" applyBorder="1"/>
    <xf numFmtId="0" fontId="16" fillId="0" borderId="0" xfId="0" applyFont="1" applyBorder="1" applyAlignment="1">
      <alignment horizontal="justify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164" fontId="16" fillId="0" borderId="0" xfId="0" applyNumberFormat="1" applyFont="1" applyBorder="1"/>
    <xf numFmtId="164" fontId="16" fillId="0" borderId="0" xfId="0" applyNumberFormat="1" applyFont="1" applyBorder="1" applyAlignment="1">
      <alignment horizontal="center"/>
    </xf>
    <xf numFmtId="2" fontId="18" fillId="0" borderId="0" xfId="0" applyNumberFormat="1" applyFont="1"/>
    <xf numFmtId="0" fontId="2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justify"/>
    </xf>
    <xf numFmtId="0" fontId="22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22" fillId="0" borderId="0" xfId="0" applyFont="1" applyAlignment="1">
      <alignment horizontal="justify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22" fillId="0" borderId="1" xfId="0" applyFont="1" applyBorder="1"/>
    <xf numFmtId="0" fontId="6" fillId="0" borderId="2" xfId="0" applyFont="1" applyBorder="1" applyAlignment="1">
      <alignment horizontal="justify"/>
    </xf>
    <xf numFmtId="0" fontId="22" fillId="0" borderId="1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/>
    <xf numFmtId="0" fontId="15" fillId="0" borderId="3" xfId="0" applyFont="1" applyBorder="1" applyAlignment="1"/>
    <xf numFmtId="164" fontId="6" fillId="0" borderId="0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2" fontId="6" fillId="0" borderId="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justify" wrapText="1"/>
    </xf>
    <xf numFmtId="0" fontId="24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22" fillId="0" borderId="5" xfId="0" applyFont="1" applyBorder="1"/>
    <xf numFmtId="0" fontId="22" fillId="0" borderId="8" xfId="0" applyFont="1" applyBorder="1"/>
    <xf numFmtId="2" fontId="6" fillId="0" borderId="3" xfId="0" applyNumberFormat="1" applyFont="1" applyBorder="1" applyAlignment="1">
      <alignment horizontal="center" vertical="center"/>
    </xf>
    <xf numFmtId="0" fontId="22" fillId="0" borderId="13" xfId="0" applyFont="1" applyBorder="1"/>
    <xf numFmtId="0" fontId="15" fillId="0" borderId="12" xfId="0" applyFont="1" applyBorder="1" applyAlignment="1"/>
    <xf numFmtId="0" fontId="22" fillId="0" borderId="4" xfId="0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0" fontId="22" fillId="0" borderId="0" xfId="0" applyFont="1" applyBorder="1"/>
    <xf numFmtId="0" fontId="6" fillId="0" borderId="0" xfId="0" applyFont="1" applyBorder="1" applyAlignment="1">
      <alignment horizontal="justify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2" fontId="22" fillId="0" borderId="0" xfId="0" applyNumberFormat="1" applyFont="1"/>
    <xf numFmtId="165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/>
    </xf>
    <xf numFmtId="2" fontId="27" fillId="0" borderId="4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0" fillId="0" borderId="0" xfId="0" applyAlignment="1"/>
    <xf numFmtId="0" fontId="14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2" xfId="0" applyBorder="1" applyAlignment="1"/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justify"/>
    </xf>
    <xf numFmtId="0" fontId="17" fillId="0" borderId="0" xfId="0" applyFont="1" applyAlignment="1"/>
    <xf numFmtId="0" fontId="16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/>
    <xf numFmtId="0" fontId="16" fillId="0" borderId="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17" fillId="0" borderId="2" xfId="0" applyFont="1" applyBorder="1" applyAlignment="1">
      <alignment vertical="center"/>
    </xf>
    <xf numFmtId="0" fontId="22" fillId="0" borderId="0" xfId="0" applyFont="1" applyAlignment="1">
      <alignment horizontal="justify"/>
    </xf>
    <xf numFmtId="0" fontId="11" fillId="0" borderId="0" xfId="0" applyFont="1" applyAlignment="1"/>
    <xf numFmtId="0" fontId="6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2" xfId="0" applyFont="1" applyBorder="1" applyAlignment="1"/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/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11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3"/>
  <sheetViews>
    <sheetView tabSelected="1" view="pageBreakPreview" topLeftCell="E22" zoomScaleNormal="75" workbookViewId="0">
      <selection activeCell="N34" sqref="N34"/>
    </sheetView>
  </sheetViews>
  <sheetFormatPr defaultRowHeight="12.75"/>
  <cols>
    <col min="1" max="1" width="3.7109375" style="1" customWidth="1"/>
    <col min="2" max="2" width="15.7109375" style="11" customWidth="1"/>
    <col min="3" max="3" width="24.5703125" style="5" customWidth="1"/>
    <col min="4" max="4" width="14.140625" style="5" customWidth="1"/>
    <col min="5" max="5" width="12.28515625" style="10" customWidth="1"/>
    <col min="6" max="6" width="11.85546875" style="13" customWidth="1"/>
    <col min="7" max="7" width="4.28515625" style="13" customWidth="1"/>
    <col min="8" max="8" width="13.5703125" style="1" customWidth="1"/>
    <col min="9" max="9" width="15.85546875" style="1" customWidth="1"/>
    <col min="10" max="10" width="16.42578125" style="1" customWidth="1"/>
    <col min="11" max="11" width="13.85546875" style="1" customWidth="1"/>
    <col min="12" max="12" width="10.5703125" style="1" customWidth="1"/>
    <col min="13" max="13" width="13.140625" style="1" customWidth="1"/>
    <col min="14" max="14" width="14.5703125" style="1" customWidth="1"/>
    <col min="15" max="15" width="15.28515625" style="1" customWidth="1"/>
    <col min="16" max="16" width="11.28515625" style="1" customWidth="1"/>
    <col min="17" max="17" width="14.42578125" style="1" customWidth="1"/>
    <col min="18" max="16384" width="9.140625" style="1"/>
  </cols>
  <sheetData>
    <row r="1" spans="1:17" ht="11.25" customHeight="1">
      <c r="L1" s="203" t="s">
        <v>23</v>
      </c>
      <c r="M1" s="201"/>
      <c r="N1" s="201"/>
      <c r="O1" s="201"/>
      <c r="P1" s="201"/>
      <c r="Q1" s="201"/>
    </row>
    <row r="2" spans="1:17" ht="26.25" hidden="1" customHeight="1">
      <c r="L2" s="201"/>
      <c r="M2" s="201"/>
      <c r="N2" s="201"/>
      <c r="O2" s="201"/>
      <c r="P2" s="201"/>
      <c r="Q2" s="201"/>
    </row>
    <row r="3" spans="1:17" ht="21" customHeight="1">
      <c r="A3" s="218" t="s">
        <v>25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20"/>
      <c r="P3" s="220"/>
      <c r="Q3" s="220"/>
    </row>
    <row r="4" spans="1:17" ht="16.5" customHeight="1">
      <c r="B4" s="2"/>
      <c r="C4" s="2"/>
      <c r="D4" s="212" t="s">
        <v>83</v>
      </c>
      <c r="E4" s="213"/>
      <c r="F4" s="213"/>
      <c r="G4" s="213"/>
      <c r="H4" s="213"/>
      <c r="I4" s="213"/>
      <c r="J4" s="213"/>
      <c r="K4" s="213"/>
      <c r="L4" s="3"/>
      <c r="M4" s="3"/>
      <c r="N4" s="3"/>
      <c r="O4" s="3"/>
      <c r="P4" s="3"/>
      <c r="Q4" s="3"/>
    </row>
    <row r="5" spans="1:17" ht="9.75" customHeight="1">
      <c r="B5" s="4"/>
      <c r="E5" s="5"/>
      <c r="F5" s="7"/>
      <c r="G5" s="8"/>
      <c r="H5" s="8"/>
      <c r="I5" s="8"/>
      <c r="J5" s="8"/>
      <c r="K5" s="8"/>
      <c r="L5" s="8"/>
      <c r="M5" s="8"/>
      <c r="N5" s="210" t="s">
        <v>22</v>
      </c>
      <c r="O5" s="210"/>
      <c r="P5" s="8"/>
      <c r="Q5" s="8"/>
    </row>
    <row r="6" spans="1:17" ht="3" hidden="1" customHeight="1">
      <c r="B6" s="9"/>
      <c r="F6" s="6"/>
      <c r="G6" s="6"/>
    </row>
    <row r="7" spans="1:17" ht="7.5" hidden="1" customHeight="1">
      <c r="F7" s="214"/>
      <c r="G7" s="214"/>
      <c r="H7" s="214"/>
      <c r="I7" s="214"/>
      <c r="J7" s="214"/>
      <c r="K7" s="12"/>
    </row>
    <row r="8" spans="1:17" ht="5.25" hidden="1" customHeight="1"/>
    <row r="9" spans="1:17" ht="0.75" hidden="1" customHeight="1"/>
    <row r="10" spans="1:17" s="17" customFormat="1" ht="51.75" customHeight="1">
      <c r="A10" s="46" t="s">
        <v>4</v>
      </c>
      <c r="B10" s="14" t="s">
        <v>5</v>
      </c>
      <c r="C10" s="14" t="s">
        <v>6</v>
      </c>
      <c r="D10" s="15" t="s">
        <v>0</v>
      </c>
      <c r="E10" s="14" t="s">
        <v>1</v>
      </c>
      <c r="F10" s="15" t="s">
        <v>2</v>
      </c>
      <c r="G10" s="14" t="s">
        <v>7</v>
      </c>
      <c r="H10" s="15" t="s">
        <v>10</v>
      </c>
      <c r="I10" s="14" t="s">
        <v>8</v>
      </c>
      <c r="J10" s="16" t="s">
        <v>9</v>
      </c>
      <c r="K10" s="14" t="s">
        <v>18</v>
      </c>
      <c r="L10" s="14" t="s">
        <v>3</v>
      </c>
      <c r="M10" s="14" t="s">
        <v>11</v>
      </c>
      <c r="N10" s="192" t="s">
        <v>13</v>
      </c>
      <c r="O10" s="14" t="s">
        <v>14</v>
      </c>
      <c r="P10" s="14" t="s">
        <v>12</v>
      </c>
      <c r="Q10" s="14" t="s">
        <v>16</v>
      </c>
    </row>
    <row r="11" spans="1:17" s="43" customFormat="1" ht="10.5" customHeight="1">
      <c r="A11" s="14">
        <v>1</v>
      </c>
      <c r="B11" s="15">
        <v>2</v>
      </c>
      <c r="C11" s="14">
        <v>3</v>
      </c>
      <c r="D11" s="15">
        <v>4</v>
      </c>
      <c r="E11" s="14">
        <v>5</v>
      </c>
      <c r="F11" s="15">
        <v>6</v>
      </c>
      <c r="G11" s="14">
        <v>7</v>
      </c>
      <c r="H11" s="15">
        <v>8</v>
      </c>
      <c r="I11" s="14">
        <v>9</v>
      </c>
      <c r="J11" s="15">
        <v>10</v>
      </c>
      <c r="K11" s="15">
        <v>11</v>
      </c>
      <c r="L11" s="14">
        <v>12</v>
      </c>
      <c r="M11" s="15">
        <v>13</v>
      </c>
      <c r="N11" s="14">
        <v>14</v>
      </c>
      <c r="O11" s="15">
        <v>15</v>
      </c>
      <c r="P11" s="14">
        <v>16</v>
      </c>
      <c r="Q11" s="16">
        <v>17</v>
      </c>
    </row>
    <row r="12" spans="1:17" s="3" customFormat="1" ht="9.75" hidden="1" customHeight="1">
      <c r="A12" s="204" t="s">
        <v>19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41"/>
      <c r="O12" s="41"/>
      <c r="P12" s="41"/>
      <c r="Q12" s="42"/>
    </row>
    <row r="13" spans="1:17" s="3" customFormat="1" ht="12.75" hidden="1" customHeight="1">
      <c r="A13" s="28"/>
      <c r="B13" s="29"/>
      <c r="C13" s="30"/>
      <c r="D13" s="31"/>
      <c r="E13" s="32"/>
      <c r="F13" s="33"/>
      <c r="G13" s="34"/>
      <c r="H13" s="35"/>
      <c r="I13" s="36"/>
      <c r="J13" s="37"/>
      <c r="K13" s="36"/>
      <c r="L13" s="36"/>
      <c r="M13" s="36"/>
      <c r="N13" s="36"/>
      <c r="O13" s="36"/>
      <c r="P13" s="36"/>
      <c r="Q13" s="36"/>
    </row>
    <row r="14" spans="1:17" s="3" customFormat="1" ht="10.5" hidden="1" customHeight="1">
      <c r="A14" s="44" t="s">
        <v>15</v>
      </c>
      <c r="B14" s="45"/>
      <c r="C14" s="30"/>
      <c r="D14" s="31"/>
      <c r="E14" s="32"/>
      <c r="F14" s="33"/>
      <c r="G14" s="34"/>
      <c r="H14" s="35"/>
      <c r="I14" s="36"/>
      <c r="J14" s="37"/>
      <c r="K14" s="36"/>
      <c r="L14" s="36"/>
      <c r="M14" s="36"/>
      <c r="N14" s="36"/>
      <c r="O14" s="36"/>
      <c r="P14" s="36"/>
      <c r="Q14" s="36"/>
    </row>
    <row r="15" spans="1:17" s="3" customFormat="1" ht="17.25" customHeight="1">
      <c r="A15" s="215" t="s">
        <v>20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38"/>
      <c r="O15" s="38"/>
      <c r="P15" s="38"/>
      <c r="Q15" s="39"/>
    </row>
    <row r="16" spans="1:17" s="3" customFormat="1" ht="87" hidden="1" customHeight="1">
      <c r="A16" s="28">
        <v>1</v>
      </c>
      <c r="B16" s="29" t="s">
        <v>28</v>
      </c>
      <c r="C16" s="30" t="s">
        <v>29</v>
      </c>
      <c r="D16" s="31" t="s">
        <v>26</v>
      </c>
      <c r="E16" s="47"/>
      <c r="F16" s="48"/>
      <c r="G16" s="64"/>
      <c r="H16" s="36"/>
      <c r="I16" s="36"/>
      <c r="J16" s="36"/>
      <c r="K16" s="36">
        <f>H16-J16</f>
        <v>0</v>
      </c>
      <c r="L16" s="52">
        <v>0.25</v>
      </c>
      <c r="M16" s="50"/>
      <c r="N16" s="50"/>
      <c r="O16" s="50"/>
      <c r="P16" s="47">
        <f>N16-O16</f>
        <v>0</v>
      </c>
      <c r="Q16" s="50">
        <f>K16+P16</f>
        <v>0</v>
      </c>
    </row>
    <row r="17" spans="1:17" s="3" customFormat="1" ht="69" hidden="1" customHeight="1" thickBot="1">
      <c r="A17" s="28"/>
      <c r="B17" s="29"/>
      <c r="C17" s="30"/>
      <c r="D17" s="31"/>
      <c r="E17" s="47"/>
      <c r="F17" s="63"/>
      <c r="G17" s="66"/>
      <c r="H17" s="53"/>
      <c r="I17" s="54"/>
      <c r="J17" s="55"/>
      <c r="K17" s="36"/>
      <c r="L17" s="52"/>
      <c r="M17" s="50"/>
      <c r="N17" s="50"/>
      <c r="O17" s="50"/>
      <c r="P17" s="50"/>
      <c r="Q17" s="50"/>
    </row>
    <row r="18" spans="1:17" s="3" customFormat="1" ht="43.5" hidden="1" customHeight="1">
      <c r="A18" s="28"/>
      <c r="B18" s="29"/>
      <c r="C18" s="30"/>
      <c r="D18" s="31"/>
      <c r="E18" s="32"/>
      <c r="F18" s="48"/>
      <c r="G18" s="65"/>
      <c r="H18" s="53"/>
      <c r="I18" s="54"/>
      <c r="J18" s="55"/>
      <c r="K18" s="36"/>
      <c r="L18" s="49"/>
      <c r="M18" s="50"/>
      <c r="N18" s="50"/>
      <c r="O18" s="50"/>
      <c r="P18" s="50"/>
      <c r="Q18" s="50"/>
    </row>
    <row r="19" spans="1:17" s="3" customFormat="1" ht="62.25" hidden="1" customHeight="1">
      <c r="A19" s="28">
        <v>2</v>
      </c>
      <c r="B19" s="62" t="s">
        <v>24</v>
      </c>
      <c r="C19" s="30" t="s">
        <v>35</v>
      </c>
      <c r="D19" s="31" t="s">
        <v>26</v>
      </c>
      <c r="E19" s="47"/>
      <c r="F19" s="48"/>
      <c r="G19" s="51"/>
      <c r="H19" s="36"/>
      <c r="I19" s="36"/>
      <c r="J19" s="36"/>
      <c r="K19" s="36">
        <f>H19-J19</f>
        <v>0</v>
      </c>
      <c r="L19" s="52">
        <v>0.25</v>
      </c>
      <c r="M19" s="50"/>
      <c r="N19" s="50"/>
      <c r="O19" s="50"/>
      <c r="P19" s="50">
        <f>N19-O19</f>
        <v>0</v>
      </c>
      <c r="Q19" s="50">
        <f t="shared" ref="Q19:Q27" si="0">K19+P19</f>
        <v>0</v>
      </c>
    </row>
    <row r="20" spans="1:17" s="3" customFormat="1" ht="41.25" customHeight="1">
      <c r="A20" s="28"/>
      <c r="B20" s="62" t="s">
        <v>24</v>
      </c>
      <c r="C20" s="30" t="s">
        <v>37</v>
      </c>
      <c r="D20" s="31" t="s">
        <v>26</v>
      </c>
      <c r="E20" s="47">
        <v>5000000</v>
      </c>
      <c r="F20" s="48">
        <v>41845</v>
      </c>
      <c r="G20" s="51"/>
      <c r="H20" s="36">
        <v>1031000</v>
      </c>
      <c r="I20" s="36"/>
      <c r="J20" s="50">
        <f>147000+147000+147000+147000+147000+147000+121.28+148878.72</f>
        <v>1031000</v>
      </c>
      <c r="K20" s="50">
        <f t="shared" ref="K20:K27" si="1">H20+I20-J20</f>
        <v>0</v>
      </c>
      <c r="L20" s="190">
        <f>8.25*1/3</f>
        <v>2.75</v>
      </c>
      <c r="M20" s="50">
        <v>3750.18</v>
      </c>
      <c r="N20" s="50">
        <f>2241.89+1654.44+1488.76+1078.82+1001.45+121.28+367.68+2.08+2.08+89.74</f>
        <v>8048.2199999999993</v>
      </c>
      <c r="O20" s="50">
        <f>3750.18+2241.89+1654.44+1488.76+1078.82+1001.45+121.28+367.68+2.08+2.08</f>
        <v>11708.660000000002</v>
      </c>
      <c r="P20" s="50">
        <f t="shared" ref="P20:P27" si="2">N20-O20+M20</f>
        <v>89.739999999997508</v>
      </c>
      <c r="Q20" s="50">
        <f t="shared" si="0"/>
        <v>89.739999999997508</v>
      </c>
    </row>
    <row r="21" spans="1:17" s="3" customFormat="1" ht="15.75" hidden="1" customHeight="1">
      <c r="A21" s="61"/>
      <c r="B21" s="62"/>
      <c r="C21" s="30"/>
      <c r="D21" s="31"/>
      <c r="E21" s="47"/>
      <c r="F21" s="48"/>
      <c r="G21" s="51"/>
      <c r="H21" s="36"/>
      <c r="I21" s="36"/>
      <c r="J21" s="36"/>
      <c r="K21" s="36">
        <f t="shared" si="1"/>
        <v>0</v>
      </c>
      <c r="L21" s="52"/>
      <c r="M21" s="50"/>
      <c r="N21" s="50"/>
      <c r="O21" s="50"/>
      <c r="P21" s="50">
        <f t="shared" si="2"/>
        <v>0</v>
      </c>
      <c r="Q21" s="50">
        <f t="shared" si="0"/>
        <v>0</v>
      </c>
    </row>
    <row r="22" spans="1:17" s="3" customFormat="1" ht="45.75" customHeight="1">
      <c r="A22" s="61"/>
      <c r="B22" s="62" t="s">
        <v>24</v>
      </c>
      <c r="C22" s="30" t="s">
        <v>41</v>
      </c>
      <c r="D22" s="31" t="s">
        <v>26</v>
      </c>
      <c r="E22" s="47">
        <v>7000000</v>
      </c>
      <c r="F22" s="48">
        <v>42148</v>
      </c>
      <c r="G22" s="51"/>
      <c r="H22" s="36">
        <v>3608000</v>
      </c>
      <c r="I22" s="36"/>
      <c r="J22" s="50">
        <f>212000+212000+212000+212000+212000+212000+233.2+211766.8</f>
        <v>1484000</v>
      </c>
      <c r="K22" s="50">
        <f t="shared" si="1"/>
        <v>2124000</v>
      </c>
      <c r="L22" s="190">
        <v>2.75</v>
      </c>
      <c r="M22" s="50">
        <v>12835.97</v>
      </c>
      <c r="N22" s="50">
        <f>8187.32+6860.69+7101.17+6350.16+6398.39+233.2+5315.23+12.22+12.22+5088.49</f>
        <v>45559.090000000004</v>
      </c>
      <c r="O22" s="50">
        <f>12835.97+8187.32+6860.69+7101.17+6350.16+12.22+233.2+6398.39+5303.01+12.22+12.22</f>
        <v>53306.57</v>
      </c>
      <c r="P22" s="50">
        <f t="shared" si="2"/>
        <v>5088.4900000000034</v>
      </c>
      <c r="Q22" s="50">
        <f t="shared" si="0"/>
        <v>2129088.4900000002</v>
      </c>
    </row>
    <row r="23" spans="1:17" s="3" customFormat="1" ht="36.75" customHeight="1">
      <c r="A23" s="61"/>
      <c r="B23" s="62" t="s">
        <v>24</v>
      </c>
      <c r="C23" s="30" t="s">
        <v>43</v>
      </c>
      <c r="D23" s="31" t="s">
        <v>26</v>
      </c>
      <c r="E23" s="47">
        <v>4000000</v>
      </c>
      <c r="F23" s="48">
        <v>41998</v>
      </c>
      <c r="G23" s="51"/>
      <c r="H23" s="36">
        <v>3001000</v>
      </c>
      <c r="I23" s="36"/>
      <c r="J23" s="50">
        <f>270000+270000+270000+270000+270000+222.75+269777.25</f>
        <v>1620000</v>
      </c>
      <c r="K23" s="50">
        <f t="shared" si="1"/>
        <v>1381000</v>
      </c>
      <c r="L23" s="190">
        <v>2.75</v>
      </c>
      <c r="M23" s="50">
        <v>10516.67</v>
      </c>
      <c r="N23" s="50">
        <f>7009.18+5944.37+5951.37+5094.65+5056.31+222.75+3782.48+9.81+9.81+3388.09</f>
        <v>36468.819999999992</v>
      </c>
      <c r="O23" s="50">
        <f>10516.67+7009.18+5944.37+5951.37+5094.65+222.75+5056.31+3782.48+9.81+9.81</f>
        <v>43597.399999999994</v>
      </c>
      <c r="P23" s="50">
        <f t="shared" si="2"/>
        <v>3388.0899999999983</v>
      </c>
      <c r="Q23" s="50">
        <f t="shared" si="0"/>
        <v>1384388.09</v>
      </c>
    </row>
    <row r="24" spans="1:17" s="3" customFormat="1" ht="33.75" customHeight="1">
      <c r="A24" s="61"/>
      <c r="B24" s="62" t="s">
        <v>24</v>
      </c>
      <c r="C24" s="30" t="s">
        <v>49</v>
      </c>
      <c r="D24" s="31" t="s">
        <v>26</v>
      </c>
      <c r="E24" s="47">
        <v>3000000</v>
      </c>
      <c r="F24" s="48">
        <v>42333</v>
      </c>
      <c r="G24" s="51"/>
      <c r="H24" s="36">
        <v>2250000</v>
      </c>
      <c r="I24" s="36"/>
      <c r="J24" s="36">
        <v>0</v>
      </c>
      <c r="K24" s="36">
        <f t="shared" si="1"/>
        <v>2250000</v>
      </c>
      <c r="L24" s="190">
        <v>2.75</v>
      </c>
      <c r="M24" s="50">
        <v>7891.38</v>
      </c>
      <c r="N24" s="50">
        <f>5255.14+4746.58+5255.14+5085.62+5255.14+5075.83+9.79+9.79+5255.14</f>
        <v>35948.17</v>
      </c>
      <c r="O24" s="50">
        <f>7891.38+5255.14+4746.58+5255.14+5085.62+5255.14+5075.83+9.79+9.79</f>
        <v>38584.410000000003</v>
      </c>
      <c r="P24" s="50">
        <f t="shared" si="2"/>
        <v>5255.1399999999949</v>
      </c>
      <c r="Q24" s="50">
        <f t="shared" si="0"/>
        <v>2255255.14</v>
      </c>
    </row>
    <row r="25" spans="1:17" s="3" customFormat="1" ht="26.25" customHeight="1">
      <c r="A25" s="61"/>
      <c r="B25" s="62" t="s">
        <v>24</v>
      </c>
      <c r="C25" s="30" t="s">
        <v>54</v>
      </c>
      <c r="D25" s="31" t="s">
        <v>26</v>
      </c>
      <c r="E25" s="47">
        <v>2000000</v>
      </c>
      <c r="F25" s="48">
        <v>42333</v>
      </c>
      <c r="G25" s="51"/>
      <c r="H25" s="36">
        <v>2000000</v>
      </c>
      <c r="I25" s="36"/>
      <c r="J25" s="36">
        <v>0</v>
      </c>
      <c r="K25" s="36">
        <f t="shared" si="1"/>
        <v>2000000</v>
      </c>
      <c r="L25" s="190">
        <v>2.75</v>
      </c>
      <c r="M25" s="50">
        <v>7014.56</v>
      </c>
      <c r="N25" s="50">
        <f>4671.23+4219.18+4671.23+4520.55+4671.23+4511.83+8.7+8.7+4671.25</f>
        <v>31953.9</v>
      </c>
      <c r="O25" s="50">
        <f>7014.56+4671.23+4219.18+4671.23+4520.55+4671.23+4511.83+8.7+8.7</f>
        <v>34297.209999999992</v>
      </c>
      <c r="P25" s="50">
        <f t="shared" si="2"/>
        <v>4671.25000000001</v>
      </c>
      <c r="Q25" s="50">
        <f t="shared" si="0"/>
        <v>2004671.25</v>
      </c>
    </row>
    <row r="26" spans="1:17" s="3" customFormat="1" ht="30.75" customHeight="1">
      <c r="A26" s="61"/>
      <c r="B26" s="62" t="s">
        <v>24</v>
      </c>
      <c r="C26" s="30" t="s">
        <v>57</v>
      </c>
      <c r="D26" s="31" t="s">
        <v>26</v>
      </c>
      <c r="E26" s="47">
        <v>780000</v>
      </c>
      <c r="F26" s="48">
        <v>41876</v>
      </c>
      <c r="G26" s="51"/>
      <c r="H26" s="36">
        <v>780000</v>
      </c>
      <c r="I26" s="36"/>
      <c r="J26" s="36">
        <v>0</v>
      </c>
      <c r="K26" s="36">
        <f t="shared" si="1"/>
        <v>780000</v>
      </c>
      <c r="L26" s="190">
        <v>2.75</v>
      </c>
      <c r="M26" s="50">
        <v>2732.67</v>
      </c>
      <c r="N26" s="50">
        <f>1821.78+1645.48+1821.78+1763.01+1821.78+1759.62+3.39+3.39+1821.78</f>
        <v>12462.01</v>
      </c>
      <c r="O26" s="50">
        <f>2732.67+1821.78+1645.48+1821.78+1763.01+1821.78+1759.62+3.39+3.39</f>
        <v>13372.899999999998</v>
      </c>
      <c r="P26" s="50">
        <f t="shared" si="2"/>
        <v>1821.7800000000025</v>
      </c>
      <c r="Q26" s="50">
        <f t="shared" si="0"/>
        <v>781821.78</v>
      </c>
    </row>
    <row r="27" spans="1:17" s="3" customFormat="1" ht="30.75" customHeight="1">
      <c r="A27" s="61"/>
      <c r="B27" s="62" t="s">
        <v>24</v>
      </c>
      <c r="C27" s="30" t="s">
        <v>60</v>
      </c>
      <c r="D27" s="31" t="s">
        <v>26</v>
      </c>
      <c r="E27" s="47">
        <v>5000000</v>
      </c>
      <c r="F27" s="48">
        <v>42699</v>
      </c>
      <c r="G27" s="51"/>
      <c r="H27" s="36">
        <v>5000000</v>
      </c>
      <c r="I27" s="36"/>
      <c r="J27" s="36">
        <v>0</v>
      </c>
      <c r="K27" s="36">
        <f t="shared" si="1"/>
        <v>5000000</v>
      </c>
      <c r="L27" s="190">
        <v>2.75</v>
      </c>
      <c r="M27" s="50">
        <v>3955.48</v>
      </c>
      <c r="N27" s="50">
        <f>11678.08+10547.95+11678.08+11301.37+11678.08+11279.61+21.76+21.76+11678.08</f>
        <v>79884.77</v>
      </c>
      <c r="O27" s="50">
        <f>3955.48+11678.08+10547.95+11678.08+11301.37+11678.08+11279.61+21.76+21.76</f>
        <v>72162.17</v>
      </c>
      <c r="P27" s="50">
        <f t="shared" si="2"/>
        <v>11678.080000000005</v>
      </c>
      <c r="Q27" s="50">
        <f t="shared" si="0"/>
        <v>5011678.08</v>
      </c>
    </row>
    <row r="28" spans="1:17" s="3" customFormat="1" ht="18.75" customHeight="1">
      <c r="A28" s="44" t="s">
        <v>15</v>
      </c>
      <c r="B28" s="45"/>
      <c r="C28" s="30"/>
      <c r="D28" s="31"/>
      <c r="E28" s="47">
        <f>E16+E18+E19+E20+E21+E22+E23+E24+E25+E26+E27</f>
        <v>26780000</v>
      </c>
      <c r="F28" s="47"/>
      <c r="G28" s="47"/>
      <c r="H28" s="47">
        <f>H20+H22+H23+H24+H25+H26+H27</f>
        <v>17670000</v>
      </c>
      <c r="I28" s="47">
        <f>I16+I18+I19+I20+I21+I17+I22+I23+I24+I25+I26+I27</f>
        <v>0</v>
      </c>
      <c r="J28" s="47">
        <f>J16+J18+J19+J20+J21+J17+J22+J23+J24</f>
        <v>4135000</v>
      </c>
      <c r="K28" s="47">
        <f>K20+K22+K23+K24+K25+K26+K27</f>
        <v>13535000</v>
      </c>
      <c r="L28" s="47"/>
      <c r="M28" s="47">
        <f>M20+M21+M17+M22+M23+M24+M25+M26+M27</f>
        <v>48696.909999999996</v>
      </c>
      <c r="N28" s="47">
        <f>N20+N22+N23+N24+N25+N26+N27</f>
        <v>250324.98000000004</v>
      </c>
      <c r="O28" s="47">
        <f>O20+O22+O23+O24+O25+O26+O27</f>
        <v>267029.32</v>
      </c>
      <c r="P28" s="47">
        <f>P16+P18+P19+P20+P21+P17+P22+P23+P24+P25+P26+P27</f>
        <v>31992.570000000014</v>
      </c>
      <c r="Q28" s="194">
        <f>K28+P28</f>
        <v>13566992.57</v>
      </c>
    </row>
    <row r="29" spans="1:17" s="3" customFormat="1" ht="25.5" customHeight="1">
      <c r="A29" s="204" t="s">
        <v>21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Q29" s="40"/>
    </row>
    <row r="30" spans="1:17" s="3" customFormat="1" ht="48.75" hidden="1" customHeight="1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Q30" s="40"/>
    </row>
    <row r="31" spans="1:17" s="3" customFormat="1" ht="0.75" customHeight="1">
      <c r="A31" s="67"/>
      <c r="B31" s="29" t="s">
        <v>36</v>
      </c>
      <c r="C31" s="30" t="s">
        <v>30</v>
      </c>
      <c r="D31" s="31" t="s">
        <v>31</v>
      </c>
      <c r="E31" s="32">
        <v>3200000</v>
      </c>
      <c r="F31" s="48">
        <v>40619</v>
      </c>
      <c r="G31" s="34"/>
      <c r="H31" s="35"/>
      <c r="I31" s="36"/>
      <c r="J31" s="69"/>
      <c r="K31" s="50">
        <f>H31-J31</f>
        <v>0</v>
      </c>
      <c r="L31" s="36">
        <v>16</v>
      </c>
      <c r="M31" s="36"/>
      <c r="N31" s="50"/>
      <c r="O31" s="50"/>
      <c r="P31" s="47">
        <f t="shared" ref="P31:P37" si="3">N31-O31</f>
        <v>0</v>
      </c>
      <c r="Q31" s="50">
        <f t="shared" ref="Q31:Q37" si="4">K31+P31</f>
        <v>0</v>
      </c>
    </row>
    <row r="32" spans="1:17" s="3" customFormat="1" ht="30.75" hidden="1" customHeight="1">
      <c r="A32" s="70"/>
      <c r="B32" s="29" t="s">
        <v>36</v>
      </c>
      <c r="C32" s="30" t="s">
        <v>33</v>
      </c>
      <c r="D32" s="31" t="s">
        <v>31</v>
      </c>
      <c r="E32" s="32">
        <v>1500000</v>
      </c>
      <c r="F32" s="48" t="s">
        <v>34</v>
      </c>
      <c r="G32" s="34"/>
      <c r="H32" s="35"/>
      <c r="I32" s="36"/>
      <c r="J32" s="69"/>
      <c r="K32" s="36">
        <f>H32-J32</f>
        <v>0</v>
      </c>
      <c r="L32" s="36">
        <v>12</v>
      </c>
      <c r="M32" s="36"/>
      <c r="N32" s="50"/>
      <c r="O32" s="50"/>
      <c r="P32" s="47">
        <f t="shared" si="3"/>
        <v>0</v>
      </c>
      <c r="Q32" s="50">
        <f t="shared" si="4"/>
        <v>0</v>
      </c>
    </row>
    <row r="33" spans="1:17" s="3" customFormat="1" ht="31.5" hidden="1" customHeight="1">
      <c r="A33" s="28"/>
      <c r="B33" s="29"/>
      <c r="C33" s="30"/>
      <c r="D33" s="31"/>
      <c r="E33" s="32"/>
      <c r="F33" s="48"/>
      <c r="G33" s="34"/>
      <c r="H33" s="35"/>
      <c r="I33" s="36"/>
      <c r="J33" s="69"/>
      <c r="K33" s="36"/>
      <c r="L33" s="50"/>
      <c r="M33" s="36"/>
      <c r="N33" s="50"/>
      <c r="O33" s="50"/>
      <c r="P33" s="47"/>
      <c r="Q33" s="50"/>
    </row>
    <row r="34" spans="1:17" s="3" customFormat="1" ht="59.25" customHeight="1">
      <c r="A34" s="72"/>
      <c r="B34" s="29" t="s">
        <v>40</v>
      </c>
      <c r="C34" s="30" t="s">
        <v>42</v>
      </c>
      <c r="D34" s="31" t="s">
        <v>31</v>
      </c>
      <c r="E34" s="32">
        <v>5000000</v>
      </c>
      <c r="F34" s="48">
        <v>41858</v>
      </c>
      <c r="G34" s="34"/>
      <c r="H34" s="35">
        <v>1666672</v>
      </c>
      <c r="I34" s="36"/>
      <c r="J34" s="69">
        <f>208333+208333+208333+208333+208333+208333+208333</f>
        <v>1458331</v>
      </c>
      <c r="K34" s="50">
        <f t="shared" ref="K34:K37" si="5">I34-J34+H34</f>
        <v>208341</v>
      </c>
      <c r="L34" s="50">
        <v>10</v>
      </c>
      <c r="M34" s="36"/>
      <c r="N34" s="50">
        <f>14155.3+11358.49+9588.71+1027.4+8846.6+6848.9-371.01+12157.18-7248.44-228.31+3424.72+4073.55</f>
        <v>63633.090000000004</v>
      </c>
      <c r="O34" s="50">
        <v>63633.09</v>
      </c>
      <c r="P34" s="47">
        <f t="shared" si="3"/>
        <v>0</v>
      </c>
      <c r="Q34" s="50">
        <f t="shared" si="4"/>
        <v>208341</v>
      </c>
    </row>
    <row r="35" spans="1:17" s="3" customFormat="1" ht="59.25" customHeight="1">
      <c r="A35" s="72"/>
      <c r="B35" s="29" t="s">
        <v>40</v>
      </c>
      <c r="C35" s="30" t="s">
        <v>44</v>
      </c>
      <c r="D35" s="31" t="s">
        <v>31</v>
      </c>
      <c r="E35" s="32">
        <v>5000000</v>
      </c>
      <c r="F35" s="48">
        <v>41992</v>
      </c>
      <c r="G35" s="34"/>
      <c r="H35" s="35">
        <v>2500004</v>
      </c>
      <c r="I35" s="36"/>
      <c r="J35" s="69">
        <f>208333+208333+208333+208333+208333+208333+208333</f>
        <v>1458331</v>
      </c>
      <c r="K35" s="50">
        <f t="shared" si="5"/>
        <v>1041673</v>
      </c>
      <c r="L35" s="50">
        <v>13</v>
      </c>
      <c r="M35" s="36"/>
      <c r="N35" s="50">
        <f>27602.78+23373.33+20775.66+1929.23+20701.29+17807.48-285.39+33909.14-18326.89+13356.23-296.8-4073.55</f>
        <v>136472.51000000004</v>
      </c>
      <c r="O35" s="50">
        <v>136472.51</v>
      </c>
      <c r="P35" s="47">
        <f t="shared" si="3"/>
        <v>0</v>
      </c>
      <c r="Q35" s="50">
        <f t="shared" si="4"/>
        <v>1041673</v>
      </c>
    </row>
    <row r="36" spans="1:17" s="3" customFormat="1" ht="59.25" customHeight="1">
      <c r="A36" s="72"/>
      <c r="B36" s="29" t="s">
        <v>40</v>
      </c>
      <c r="C36" s="30" t="s">
        <v>55</v>
      </c>
      <c r="D36" s="31" t="s">
        <v>56</v>
      </c>
      <c r="E36" s="32">
        <v>8000000</v>
      </c>
      <c r="F36" s="48">
        <v>41848</v>
      </c>
      <c r="G36" s="34"/>
      <c r="H36" s="35">
        <v>4665000</v>
      </c>
      <c r="I36" s="36"/>
      <c r="J36" s="69">
        <f>667000+667000+667000+667000+667000+667000+663000</f>
        <v>4665000</v>
      </c>
      <c r="K36" s="50">
        <f t="shared" si="5"/>
        <v>0</v>
      </c>
      <c r="L36" s="50">
        <v>10.5</v>
      </c>
      <c r="M36" s="36"/>
      <c r="N36" s="50">
        <f>40258.44+40258.11+20882.67+22031.31+16081.98+9367.43+4386.7</f>
        <v>153266.64000000001</v>
      </c>
      <c r="O36" s="50">
        <v>153266.64000000001</v>
      </c>
      <c r="P36" s="47">
        <f t="shared" si="3"/>
        <v>0</v>
      </c>
      <c r="Q36" s="50">
        <f t="shared" si="4"/>
        <v>0</v>
      </c>
    </row>
    <row r="37" spans="1:17" s="3" customFormat="1" ht="59.25" customHeight="1">
      <c r="A37" s="72"/>
      <c r="B37" s="29" t="s">
        <v>40</v>
      </c>
      <c r="C37" s="30" t="s">
        <v>59</v>
      </c>
      <c r="D37" s="31" t="s">
        <v>56</v>
      </c>
      <c r="E37" s="32">
        <v>8000000</v>
      </c>
      <c r="F37" s="48">
        <v>42243</v>
      </c>
      <c r="G37" s="34"/>
      <c r="H37" s="35">
        <v>8000000</v>
      </c>
      <c r="I37" s="36"/>
      <c r="J37" s="69">
        <f>533000+533000+533000+533000+533000</f>
        <v>2665000</v>
      </c>
      <c r="K37" s="50">
        <f t="shared" si="5"/>
        <v>5335000</v>
      </c>
      <c r="L37" s="50">
        <v>10.5</v>
      </c>
      <c r="M37" s="36"/>
      <c r="N37" s="50">
        <f>71342.47+64438.36+70422.5+63214.6+60149.46+766.65+0.63+53708.22+51409.73-306.66</f>
        <v>435145.96</v>
      </c>
      <c r="O37" s="50">
        <v>435145.96</v>
      </c>
      <c r="P37" s="47">
        <f t="shared" si="3"/>
        <v>0</v>
      </c>
      <c r="Q37" s="50">
        <f t="shared" si="4"/>
        <v>5335000</v>
      </c>
    </row>
    <row r="38" spans="1:17" s="3" customFormat="1" ht="15" customHeight="1">
      <c r="A38" s="68" t="s">
        <v>15</v>
      </c>
      <c r="B38" s="45"/>
      <c r="C38" s="30"/>
      <c r="D38" s="31"/>
      <c r="E38" s="32">
        <f>E34+E35+E36+E37</f>
        <v>26000000</v>
      </c>
      <c r="F38" s="32">
        <f t="shared" ref="F38:K38" si="6">F34+F35+F36+F37</f>
        <v>167941</v>
      </c>
      <c r="G38" s="32">
        <f t="shared" si="6"/>
        <v>0</v>
      </c>
      <c r="H38" s="32">
        <f t="shared" si="6"/>
        <v>16831676</v>
      </c>
      <c r="I38" s="32">
        <f t="shared" si="6"/>
        <v>0</v>
      </c>
      <c r="J38" s="47">
        <f t="shared" si="6"/>
        <v>10246662</v>
      </c>
      <c r="K38" s="32">
        <f t="shared" si="6"/>
        <v>6585014</v>
      </c>
      <c r="L38" s="32">
        <f t="shared" ref="L38" si="7">L34+L35+L36+L37</f>
        <v>44</v>
      </c>
      <c r="M38" s="32">
        <f t="shared" ref="M38" si="8">M34+M35+M36+M37</f>
        <v>0</v>
      </c>
      <c r="N38" s="32">
        <f t="shared" ref="N38" si="9">N34+N35+N36+N37</f>
        <v>788518.20000000007</v>
      </c>
      <c r="O38" s="32">
        <f t="shared" ref="O38" si="10">O34+O35+O36+O37</f>
        <v>788518.2</v>
      </c>
      <c r="P38" s="32">
        <f t="shared" ref="P38" si="11">P34+P35+P36+P37</f>
        <v>0</v>
      </c>
      <c r="Q38" s="193">
        <f t="shared" ref="Q38" si="12">Q34+Q35+Q36+Q37</f>
        <v>6585014</v>
      </c>
    </row>
    <row r="39" spans="1:17" s="3" customFormat="1" ht="10.5" customHeight="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Q39" s="40"/>
    </row>
    <row r="40" spans="1:17" s="3" customFormat="1" ht="10.5" customHeight="1">
      <c r="A40" s="28"/>
      <c r="B40" s="29"/>
      <c r="C40" s="30"/>
      <c r="D40" s="31"/>
      <c r="E40" s="32"/>
      <c r="F40" s="33"/>
      <c r="G40" s="34"/>
      <c r="H40" s="35"/>
      <c r="I40" s="36"/>
      <c r="J40" s="37"/>
      <c r="K40" s="36"/>
      <c r="L40" s="36"/>
      <c r="M40" s="36"/>
      <c r="N40" s="36"/>
      <c r="O40" s="36"/>
      <c r="P40" s="36"/>
      <c r="Q40" s="36"/>
    </row>
    <row r="41" spans="1:17" s="3" customFormat="1" ht="12.75" customHeight="1">
      <c r="A41" s="44" t="s">
        <v>15</v>
      </c>
      <c r="B41" s="45"/>
      <c r="C41" s="30"/>
      <c r="D41" s="31"/>
      <c r="E41" s="32"/>
      <c r="F41" s="33"/>
      <c r="G41" s="34"/>
      <c r="H41" s="35"/>
      <c r="I41" s="36"/>
      <c r="J41" s="37"/>
      <c r="K41" s="36"/>
      <c r="L41" s="36"/>
      <c r="M41" s="36"/>
      <c r="N41" s="36"/>
      <c r="O41" s="36"/>
      <c r="P41" s="36"/>
      <c r="Q41" s="36"/>
    </row>
    <row r="42" spans="1:17" s="24" customFormat="1" ht="23.25" customHeight="1">
      <c r="A42" s="206" t="s">
        <v>17</v>
      </c>
      <c r="B42" s="207"/>
      <c r="C42" s="208"/>
      <c r="D42" s="208"/>
      <c r="E42" s="208"/>
      <c r="F42" s="209"/>
      <c r="G42" s="23"/>
      <c r="H42" s="57">
        <f>H28+H38</f>
        <v>34501676</v>
      </c>
      <c r="I42" s="57">
        <f>I28+I38</f>
        <v>0</v>
      </c>
      <c r="J42" s="56">
        <f>J28+J38</f>
        <v>14381662</v>
      </c>
      <c r="K42" s="56">
        <f>K28+K38</f>
        <v>20120014</v>
      </c>
      <c r="L42" s="58"/>
      <c r="M42" s="57"/>
      <c r="N42" s="56">
        <f>N28+N38</f>
        <v>1038843.1800000002</v>
      </c>
      <c r="O42" s="56">
        <f>O28+O38</f>
        <v>1055547.52</v>
      </c>
      <c r="P42" s="56">
        <f>P28+P38</f>
        <v>31992.570000000014</v>
      </c>
      <c r="Q42" s="195">
        <f>Q28+Q38</f>
        <v>20152006.57</v>
      </c>
    </row>
    <row r="43" spans="1:17" ht="10.5" customHeight="1">
      <c r="A43" s="18"/>
      <c r="B43" s="25"/>
      <c r="C43" s="19"/>
      <c r="D43" s="19"/>
      <c r="E43" s="20"/>
      <c r="F43" s="22"/>
      <c r="G43" s="22"/>
      <c r="H43" s="26"/>
      <c r="I43" s="27"/>
      <c r="J43" s="27"/>
      <c r="K43" s="26"/>
      <c r="L43" s="26"/>
      <c r="M43" s="26"/>
      <c r="N43" s="26"/>
      <c r="O43" s="26"/>
      <c r="P43" s="26"/>
      <c r="Q43" s="26"/>
    </row>
    <row r="44" spans="1:17">
      <c r="N44" s="71"/>
    </row>
    <row r="45" spans="1:17" ht="17.25" customHeight="1">
      <c r="B45" s="196" t="s">
        <v>61</v>
      </c>
      <c r="C45" s="197"/>
      <c r="D45" s="197"/>
      <c r="E45" s="198"/>
      <c r="F45" s="199"/>
      <c r="G45" s="199"/>
      <c r="H45" s="200"/>
      <c r="I45" s="201"/>
      <c r="J45" s="201"/>
      <c r="K45" s="201"/>
    </row>
    <row r="48" spans="1:17" ht="15.75">
      <c r="B48" s="196" t="s">
        <v>77</v>
      </c>
      <c r="C48" s="202"/>
      <c r="D48" s="202"/>
      <c r="E48" s="202"/>
      <c r="F48" s="202"/>
      <c r="G48" s="202"/>
      <c r="H48" s="202"/>
      <c r="I48" s="202"/>
      <c r="J48" s="202"/>
      <c r="K48" s="202"/>
    </row>
    <row r="50" spans="3:3">
      <c r="C50" s="5" t="s">
        <v>27</v>
      </c>
    </row>
    <row r="62" spans="3:3" ht="16.5" customHeight="1"/>
    <row r="63" spans="3:3" ht="30" customHeight="1">
      <c r="C63" s="21"/>
    </row>
  </sheetData>
  <mergeCells count="12">
    <mergeCell ref="B45:K45"/>
    <mergeCell ref="B48:K48"/>
    <mergeCell ref="L1:Q2"/>
    <mergeCell ref="A39:M39"/>
    <mergeCell ref="A42:F42"/>
    <mergeCell ref="N5:O5"/>
    <mergeCell ref="A29:M29"/>
    <mergeCell ref="D4:K4"/>
    <mergeCell ref="F7:J7"/>
    <mergeCell ref="A15:M15"/>
    <mergeCell ref="A12:M12"/>
    <mergeCell ref="A3:Q3"/>
  </mergeCells>
  <phoneticPr fontId="8" type="noConversion"/>
  <pageMargins left="0.53" right="0.34" top="0.2" bottom="0.34" header="0.5" footer="0.16"/>
  <pageSetup paperSize="9" scale="59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topLeftCell="D3" workbookViewId="0">
      <selection activeCell="N18" sqref="N18"/>
    </sheetView>
  </sheetViews>
  <sheetFormatPr defaultRowHeight="12.75"/>
  <cols>
    <col min="3" max="3" width="12.140625" customWidth="1"/>
    <col min="5" max="6" width="12.5703125" customWidth="1"/>
    <col min="7" max="7" width="12.7109375" customWidth="1"/>
    <col min="8" max="8" width="14.140625" customWidth="1"/>
    <col min="9" max="9" width="12.28515625" customWidth="1"/>
    <col min="10" max="10" width="13.28515625" customWidth="1"/>
    <col min="11" max="11" width="11.7109375" customWidth="1"/>
    <col min="14" max="14" width="11.42578125" customWidth="1"/>
    <col min="15" max="15" width="11.140625" customWidth="1"/>
    <col min="16" max="16" width="13.140625" customWidth="1"/>
    <col min="17" max="17" width="13.7109375" customWidth="1"/>
  </cols>
  <sheetData>
    <row r="1" spans="1:17" ht="18">
      <c r="A1" s="218" t="s">
        <v>38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20"/>
      <c r="P1" s="220"/>
      <c r="Q1" s="220"/>
    </row>
    <row r="2" spans="1:17" ht="15">
      <c r="A2" s="1"/>
      <c r="B2" s="2"/>
      <c r="C2" s="2"/>
      <c r="D2" s="212" t="s">
        <v>85</v>
      </c>
      <c r="E2" s="213"/>
      <c r="F2" s="213"/>
      <c r="G2" s="213"/>
      <c r="H2" s="213"/>
      <c r="I2" s="213"/>
      <c r="J2" s="213"/>
      <c r="K2" s="213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10" t="s">
        <v>22</v>
      </c>
      <c r="O3" s="210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14"/>
      <c r="G5" s="214"/>
      <c r="H5" s="214"/>
      <c r="I5" s="214"/>
      <c r="J5" s="214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67.5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04" t="s">
        <v>19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15" t="s">
        <v>20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38"/>
      <c r="O13" s="38"/>
      <c r="P13" s="38"/>
      <c r="Q13" s="39"/>
    </row>
    <row r="14" spans="1:17" ht="15.75" thickBot="1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.75" thickBot="1">
      <c r="A15" s="28"/>
      <c r="B15" s="29"/>
      <c r="C15" s="30"/>
      <c r="D15" s="31"/>
      <c r="E15" s="47"/>
      <c r="F15" s="63"/>
      <c r="G15" s="66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2</v>
      </c>
      <c r="B16" s="29" t="s">
        <v>24</v>
      </c>
      <c r="C16" s="30" t="s">
        <v>45</v>
      </c>
      <c r="D16" s="31" t="s">
        <v>32</v>
      </c>
      <c r="E16" s="47">
        <v>300000</v>
      </c>
      <c r="F16" s="48">
        <v>41618</v>
      </c>
      <c r="G16" s="65" t="s">
        <v>50</v>
      </c>
      <c r="H16" s="36">
        <v>175000</v>
      </c>
      <c r="I16" s="36"/>
      <c r="J16" s="36">
        <f>50000+25000+25000+75000</f>
        <v>175000</v>
      </c>
      <c r="K16" s="36">
        <f>H16-J16+I16</f>
        <v>0</v>
      </c>
      <c r="L16" s="69">
        <f>8.25*1/3</f>
        <v>2.75</v>
      </c>
      <c r="M16" s="50">
        <v>2721.6</v>
      </c>
      <c r="N16" s="50">
        <f>282.53+26.67+103.13+224.14+19.89+62.16+21.26+22.68</f>
        <v>762.45999999999992</v>
      </c>
      <c r="O16" s="50">
        <f>450.98+305.89+43.68</f>
        <v>800.55</v>
      </c>
      <c r="P16" s="50">
        <f>N16-O16+M16</f>
        <v>2683.5099999999998</v>
      </c>
      <c r="Q16" s="50">
        <f>K16+P16</f>
        <v>2683.5099999999998</v>
      </c>
    </row>
    <row r="17" spans="1:17" ht="105">
      <c r="A17" s="28">
        <v>3</v>
      </c>
      <c r="B17" s="29" t="s">
        <v>24</v>
      </c>
      <c r="C17" s="30" t="s">
        <v>53</v>
      </c>
      <c r="D17" s="31" t="s">
        <v>32</v>
      </c>
      <c r="E17" s="47">
        <v>386000</v>
      </c>
      <c r="F17" s="48">
        <v>42448</v>
      </c>
      <c r="G17" s="65" t="s">
        <v>50</v>
      </c>
      <c r="H17" s="36">
        <v>375000</v>
      </c>
      <c r="I17" s="36"/>
      <c r="J17" s="36">
        <f>12000+11000+11000+11000</f>
        <v>45000</v>
      </c>
      <c r="K17" s="36">
        <f>H17-J17+I17</f>
        <v>330000</v>
      </c>
      <c r="L17" s="69">
        <f t="shared" ref="L17:L18" si="0">8.25*1/3</f>
        <v>2.75</v>
      </c>
      <c r="M17" s="50">
        <v>9877.58</v>
      </c>
      <c r="N17" s="50">
        <f>1053.09+791.1+84.7+8.98+857.77+76.73+8.98+820.48+74.25+89.27+817.99+100.64+817.99+90.75+104.97+777.38+117.11</f>
        <v>6692.18</v>
      </c>
      <c r="O17" s="50">
        <f>1053.09+791.1+93.68</f>
        <v>1937.8700000000001</v>
      </c>
      <c r="P17" s="50">
        <f>N17-O17+M17</f>
        <v>14631.89</v>
      </c>
      <c r="Q17" s="50">
        <f>K17+P17</f>
        <v>344631.89</v>
      </c>
    </row>
    <row r="18" spans="1:17" ht="105">
      <c r="A18" s="61" t="s">
        <v>62</v>
      </c>
      <c r="B18" s="29" t="s">
        <v>24</v>
      </c>
      <c r="C18" s="30" t="s">
        <v>73</v>
      </c>
      <c r="D18" s="31" t="s">
        <v>32</v>
      </c>
      <c r="E18" s="47">
        <v>800000</v>
      </c>
      <c r="F18" s="48">
        <v>42819</v>
      </c>
      <c r="G18" s="65" t="s">
        <v>50</v>
      </c>
      <c r="H18" s="36">
        <v>800000</v>
      </c>
      <c r="I18" s="36"/>
      <c r="J18" s="36">
        <f>10000+22000+22000+22000</f>
        <v>76000</v>
      </c>
      <c r="K18" s="36">
        <f>H18-J18+I18</f>
        <v>724000</v>
      </c>
      <c r="L18" s="69">
        <f t="shared" si="0"/>
        <v>2.75</v>
      </c>
      <c r="M18" s="50">
        <v>632.88</v>
      </c>
      <c r="N18" s="50">
        <f>1866.23+1687.67+1845.14+5.4+1785.62+21.17+1785.47+2578.34+1686.16+66.17+181.5+1704.25+0.66</f>
        <v>15213.779999999999</v>
      </c>
      <c r="O18" s="50">
        <f>1866.23+1687.67+632.88+9877.58</f>
        <v>14064.36</v>
      </c>
      <c r="P18" s="50">
        <f>N18-O18+M18</f>
        <v>1782.2999999999984</v>
      </c>
      <c r="Q18" s="50">
        <f>K18+P18</f>
        <v>725782.3</v>
      </c>
    </row>
    <row r="19" spans="1:17" ht="15">
      <c r="A19" s="44" t="s">
        <v>15</v>
      </c>
      <c r="B19" s="45"/>
      <c r="C19" s="30"/>
      <c r="D19" s="31"/>
      <c r="E19" s="47">
        <f>E16+E17+E18</f>
        <v>1486000</v>
      </c>
      <c r="F19" s="47"/>
      <c r="G19" s="47"/>
      <c r="H19" s="47">
        <f t="shared" ref="H19:K19" si="1">H16+H17+H18</f>
        <v>1350000</v>
      </c>
      <c r="I19" s="47">
        <f t="shared" si="1"/>
        <v>0</v>
      </c>
      <c r="J19" s="47">
        <f t="shared" si="1"/>
        <v>296000</v>
      </c>
      <c r="K19" s="47">
        <f t="shared" si="1"/>
        <v>1054000</v>
      </c>
      <c r="L19" s="47"/>
      <c r="M19" s="47">
        <f>M16+M17+M18</f>
        <v>13232.06</v>
      </c>
      <c r="N19" s="47">
        <f t="shared" ref="N19:O19" si="2">N16+N17+N18</f>
        <v>22668.42</v>
      </c>
      <c r="O19" s="47">
        <f t="shared" si="2"/>
        <v>16802.78</v>
      </c>
      <c r="P19" s="47">
        <f>16+P17+P18</f>
        <v>16430.189999999999</v>
      </c>
      <c r="Q19" s="50">
        <f>Q16+Q17+Q18</f>
        <v>1073097.7000000002</v>
      </c>
    </row>
    <row r="20" spans="1:17" ht="15">
      <c r="A20" s="204" t="s">
        <v>21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3"/>
      <c r="O20" s="3"/>
      <c r="P20" s="3"/>
      <c r="Q20" s="40"/>
    </row>
    <row r="21" spans="1:17" ht="5.25" customHeight="1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3"/>
      <c r="O21" s="3"/>
      <c r="P21" s="3"/>
      <c r="Q21" s="40"/>
    </row>
    <row r="22" spans="1:17" ht="15" hidden="1">
      <c r="A22" s="67"/>
      <c r="B22" s="29"/>
      <c r="C22" s="30"/>
      <c r="D22" s="31"/>
      <c r="E22" s="32"/>
      <c r="F22" s="48"/>
      <c r="G22" s="34"/>
      <c r="H22" s="35"/>
      <c r="I22" s="36"/>
      <c r="J22" s="69"/>
      <c r="K22" s="50"/>
      <c r="L22" s="36"/>
      <c r="M22" s="36"/>
      <c r="N22" s="50"/>
      <c r="O22" s="50"/>
      <c r="P22" s="47"/>
      <c r="Q22" s="50"/>
    </row>
    <row r="23" spans="1:17" ht="15" hidden="1">
      <c r="A23" s="70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36"/>
      <c r="M23" s="36"/>
      <c r="N23" s="50"/>
      <c r="O23" s="50"/>
      <c r="P23" s="47"/>
      <c r="Q23" s="50"/>
    </row>
    <row r="24" spans="1:17" ht="15" hidden="1">
      <c r="A24" s="28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50"/>
      <c r="M24" s="36"/>
      <c r="N24" s="50"/>
      <c r="O24" s="50"/>
      <c r="P24" s="47"/>
      <c r="Q24" s="50"/>
    </row>
    <row r="25" spans="1:17" ht="15">
      <c r="A25" s="68" t="s">
        <v>15</v>
      </c>
      <c r="B25" s="45"/>
      <c r="C25" s="30"/>
      <c r="D25" s="31"/>
      <c r="E25" s="32">
        <f>E22+E23+E24</f>
        <v>0</v>
      </c>
      <c r="F25" s="33"/>
      <c r="G25" s="34"/>
      <c r="H25" s="36">
        <f>H22+H23+H24</f>
        <v>0</v>
      </c>
      <c r="I25" s="36">
        <f t="shared" ref="I25:N25" si="3">I22+I23+I24</f>
        <v>0</v>
      </c>
      <c r="J25" s="36">
        <f t="shared" si="3"/>
        <v>0</v>
      </c>
      <c r="K25" s="36">
        <f t="shared" si="3"/>
        <v>0</v>
      </c>
      <c r="L25" s="36"/>
      <c r="M25" s="36">
        <f t="shared" si="3"/>
        <v>0</v>
      </c>
      <c r="N25" s="50">
        <f t="shared" si="3"/>
        <v>0</v>
      </c>
      <c r="O25" s="50">
        <f>O22+O23+O24</f>
        <v>0</v>
      </c>
      <c r="P25" s="36">
        <f>P22+P23+P24</f>
        <v>0</v>
      </c>
      <c r="Q25" s="36">
        <f>Q22+Q23+Q24</f>
        <v>0</v>
      </c>
    </row>
    <row r="26" spans="1:17" ht="15">
      <c r="A26" s="204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3"/>
      <c r="O26" s="3"/>
      <c r="P26" s="3"/>
      <c r="Q26" s="40"/>
    </row>
    <row r="27" spans="1:17" ht="0.75" customHeight="1">
      <c r="A27" s="28"/>
      <c r="B27" s="29"/>
      <c r="C27" s="30"/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5">
      <c r="A28" s="44" t="s">
        <v>15</v>
      </c>
      <c r="B28" s="45"/>
      <c r="C28" s="30">
        <v>0</v>
      </c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8.75">
      <c r="A29" s="206" t="s">
        <v>17</v>
      </c>
      <c r="B29" s="207"/>
      <c r="C29" s="208"/>
      <c r="D29" s="208"/>
      <c r="E29" s="208"/>
      <c r="F29" s="209"/>
      <c r="G29" s="23"/>
      <c r="H29" s="57">
        <f>H19+H25</f>
        <v>1350000</v>
      </c>
      <c r="I29" s="57">
        <f>I19+I25</f>
        <v>0</v>
      </c>
      <c r="J29" s="56">
        <f>J19+J25</f>
        <v>296000</v>
      </c>
      <c r="K29" s="56">
        <f>K19+K25</f>
        <v>1054000</v>
      </c>
      <c r="L29" s="58"/>
      <c r="M29" s="57">
        <v>371.58</v>
      </c>
      <c r="N29" s="56">
        <f>N19+N25</f>
        <v>22668.42</v>
      </c>
      <c r="O29" s="56">
        <f>O19+O25</f>
        <v>16802.78</v>
      </c>
      <c r="P29" s="56">
        <f>P19+P25</f>
        <v>16430.189999999999</v>
      </c>
      <c r="Q29" s="56">
        <f>Q19+Q25</f>
        <v>1073097.7000000002</v>
      </c>
    </row>
    <row r="30" spans="1:17" ht="18.75">
      <c r="A30" s="18"/>
      <c r="B30" s="25"/>
      <c r="C30" s="19"/>
      <c r="D30" s="19"/>
      <c r="E30" s="20"/>
      <c r="F30" s="22"/>
      <c r="G30" s="22"/>
      <c r="H30" s="26"/>
      <c r="I30" s="27"/>
      <c r="J30" s="27"/>
      <c r="K30" s="26"/>
      <c r="L30" s="26"/>
      <c r="M30" s="26"/>
      <c r="N30" s="26"/>
      <c r="O30" s="26"/>
      <c r="P30" s="26"/>
      <c r="Q30" s="26"/>
    </row>
    <row r="31" spans="1:17">
      <c r="A31" s="1"/>
      <c r="B31" s="11"/>
      <c r="C31" s="5"/>
      <c r="D31" s="5"/>
      <c r="E31" s="10"/>
      <c r="F31" s="13"/>
      <c r="G31" s="13"/>
      <c r="H31" s="1"/>
      <c r="I31" s="1"/>
      <c r="J31" s="1"/>
      <c r="K31" s="1"/>
      <c r="L31" s="1"/>
      <c r="M31" s="1"/>
      <c r="N31" s="71"/>
      <c r="O31" s="1"/>
      <c r="P31" s="1"/>
      <c r="Q31" s="1"/>
    </row>
    <row r="32" spans="1:17" ht="15.75">
      <c r="A32" s="1"/>
      <c r="B32" s="196" t="s">
        <v>64</v>
      </c>
      <c r="C32" s="197"/>
      <c r="D32" s="197"/>
      <c r="E32" s="198"/>
      <c r="F32" s="199"/>
      <c r="G32" s="199"/>
      <c r="H32" s="200"/>
      <c r="I32" s="201"/>
      <c r="J32" s="201"/>
      <c r="K32" s="201"/>
      <c r="L32" s="1"/>
      <c r="M32" s="1"/>
      <c r="N32" s="1"/>
      <c r="O32" s="1"/>
      <c r="P32" s="1"/>
      <c r="Q32" s="1"/>
    </row>
    <row r="33" spans="1:17">
      <c r="A33" s="1"/>
      <c r="B33" s="11"/>
      <c r="C33" s="5"/>
      <c r="D33" s="5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>
      <c r="A35" s="1"/>
      <c r="B35" s="196" t="s">
        <v>78</v>
      </c>
      <c r="C35" s="202"/>
      <c r="D35" s="202"/>
      <c r="E35" s="202"/>
      <c r="F35" s="202"/>
      <c r="G35" s="202"/>
      <c r="H35" s="202"/>
      <c r="I35" s="202"/>
      <c r="J35" s="202"/>
      <c r="K35" s="202"/>
      <c r="L35" s="1"/>
      <c r="M35" s="1"/>
      <c r="N35" s="1"/>
      <c r="O35" s="1"/>
      <c r="P35" s="1"/>
      <c r="Q35" s="1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38.25">
      <c r="A37" s="1"/>
      <c r="B37" s="11"/>
      <c r="C37" s="5" t="s">
        <v>27</v>
      </c>
      <c r="D37" s="5"/>
      <c r="E37" s="10"/>
      <c r="F37" s="13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mergeCells count="11">
    <mergeCell ref="B32:K32"/>
    <mergeCell ref="B35:K35"/>
    <mergeCell ref="A10:M10"/>
    <mergeCell ref="A13:M13"/>
    <mergeCell ref="A20:M20"/>
    <mergeCell ref="A26:M26"/>
    <mergeCell ref="A1:Q1"/>
    <mergeCell ref="D2:K2"/>
    <mergeCell ref="N3:O3"/>
    <mergeCell ref="F5:J5"/>
    <mergeCell ref="A29:F29"/>
  </mergeCells>
  <phoneticPr fontId="8" type="noConversion"/>
  <pageMargins left="0.75" right="0.75" top="1" bottom="1" header="0.5" footer="0.5"/>
  <pageSetup paperSize="9"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topLeftCell="B1" workbookViewId="0">
      <selection activeCell="N17" sqref="N17"/>
    </sheetView>
  </sheetViews>
  <sheetFormatPr defaultRowHeight="12.75"/>
  <cols>
    <col min="3" max="3" width="10.28515625" customWidth="1"/>
    <col min="5" max="5" width="11.5703125" bestFit="1" customWidth="1"/>
    <col min="6" max="6" width="11.7109375" customWidth="1"/>
    <col min="7" max="7" width="9.28515625" bestFit="1" customWidth="1"/>
    <col min="8" max="9" width="12.28515625" customWidth="1"/>
    <col min="10" max="10" width="12" customWidth="1"/>
    <col min="11" max="11" width="11.28515625" customWidth="1"/>
    <col min="12" max="16" width="9.28515625" bestFit="1" customWidth="1"/>
    <col min="17" max="17" width="11.7109375" customWidth="1"/>
  </cols>
  <sheetData>
    <row r="1" spans="1:17" ht="18">
      <c r="A1" s="218" t="s">
        <v>39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20"/>
      <c r="P1" s="220"/>
      <c r="Q1" s="220"/>
    </row>
    <row r="2" spans="1:17" ht="15">
      <c r="A2" s="1"/>
      <c r="B2" s="2"/>
      <c r="C2" s="2"/>
      <c r="D2" s="212" t="s">
        <v>84</v>
      </c>
      <c r="E2" s="213"/>
      <c r="F2" s="213"/>
      <c r="G2" s="213"/>
      <c r="H2" s="213"/>
      <c r="I2" s="213"/>
      <c r="J2" s="213"/>
      <c r="K2" s="213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10" t="s">
        <v>22</v>
      </c>
      <c r="O3" s="210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14"/>
      <c r="G5" s="214"/>
      <c r="H5" s="214"/>
      <c r="I5" s="214"/>
      <c r="J5" s="214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04" t="s">
        <v>19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15" t="s">
        <v>20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2</v>
      </c>
      <c r="B16" s="29" t="s">
        <v>24</v>
      </c>
      <c r="C16" s="30" t="s">
        <v>74</v>
      </c>
      <c r="D16" s="31" t="s">
        <v>32</v>
      </c>
      <c r="E16" s="47">
        <v>500000</v>
      </c>
      <c r="F16" s="48">
        <v>42819</v>
      </c>
      <c r="G16" s="65" t="s">
        <v>50</v>
      </c>
      <c r="H16" s="36">
        <v>500000</v>
      </c>
      <c r="I16" s="36"/>
      <c r="J16" s="36">
        <f>28000+14000+14000+14000+14000+14000</f>
        <v>98000</v>
      </c>
      <c r="K16" s="36">
        <f>H16-J16+I16</f>
        <v>402000</v>
      </c>
      <c r="L16" s="69">
        <v>2.75</v>
      </c>
      <c r="M16" s="50">
        <v>395.55</v>
      </c>
      <c r="N16" s="50">
        <f>1200.21+1017.86+1089.75+1019.38+1020.14+956.1+949.47</f>
        <v>7252.9100000000008</v>
      </c>
      <c r="O16" s="50">
        <f>2613.62+1089.75+1019.38+1020.14+956.1</f>
        <v>6698.9900000000007</v>
      </c>
      <c r="P16" s="50">
        <f>M16+N16-O16</f>
        <v>949.47000000000025</v>
      </c>
      <c r="Q16" s="50">
        <f>K16+P16</f>
        <v>402949.47</v>
      </c>
    </row>
    <row r="17" spans="1:17" ht="15">
      <c r="A17" s="28"/>
      <c r="B17" s="62"/>
      <c r="C17" s="30"/>
      <c r="D17" s="31"/>
      <c r="E17" s="47"/>
      <c r="F17" s="48"/>
      <c r="G17" s="51"/>
      <c r="H17" s="36"/>
      <c r="I17" s="36"/>
      <c r="J17" s="36"/>
      <c r="K17" s="36"/>
      <c r="L17" s="52"/>
      <c r="M17" s="50"/>
      <c r="N17" s="50"/>
      <c r="O17" s="50"/>
      <c r="P17" s="50"/>
      <c r="Q17" s="50"/>
    </row>
    <row r="18" spans="1:17" ht="15">
      <c r="A18" s="61"/>
      <c r="B18" s="62"/>
      <c r="C18" s="30"/>
      <c r="D18" s="31"/>
      <c r="E18" s="47"/>
      <c r="F18" s="48"/>
      <c r="G18" s="51"/>
      <c r="H18" s="36"/>
      <c r="I18" s="36"/>
      <c r="J18" s="36"/>
      <c r="K18" s="36">
        <f>I18-J18</f>
        <v>0</v>
      </c>
      <c r="L18" s="52"/>
      <c r="M18" s="50"/>
      <c r="N18" s="50"/>
      <c r="O18" s="50"/>
      <c r="P18" s="50"/>
      <c r="Q18" s="36"/>
    </row>
    <row r="19" spans="1:17" ht="15">
      <c r="A19" s="44" t="s">
        <v>15</v>
      </c>
      <c r="B19" s="45"/>
      <c r="C19" s="30"/>
      <c r="D19" s="31"/>
      <c r="E19" s="47">
        <f>E16+E17+E18</f>
        <v>500000</v>
      </c>
      <c r="F19" s="47"/>
      <c r="G19" s="47"/>
      <c r="H19" s="47">
        <f t="shared" ref="H19:Q19" si="0">H16+H17+H18</f>
        <v>500000</v>
      </c>
      <c r="I19" s="47">
        <f t="shared" si="0"/>
        <v>0</v>
      </c>
      <c r="J19" s="47">
        <f t="shared" si="0"/>
        <v>98000</v>
      </c>
      <c r="K19" s="47">
        <f t="shared" si="0"/>
        <v>402000</v>
      </c>
      <c r="L19" s="47">
        <f t="shared" si="0"/>
        <v>2.75</v>
      </c>
      <c r="M19" s="47">
        <f t="shared" si="0"/>
        <v>395.55</v>
      </c>
      <c r="N19" s="47">
        <f t="shared" si="0"/>
        <v>7252.9100000000008</v>
      </c>
      <c r="O19" s="47">
        <f t="shared" si="0"/>
        <v>6698.9900000000007</v>
      </c>
      <c r="P19" s="47">
        <f t="shared" si="0"/>
        <v>949.47000000000025</v>
      </c>
      <c r="Q19" s="47">
        <f t="shared" si="0"/>
        <v>402949.47</v>
      </c>
    </row>
    <row r="20" spans="1:17" ht="15">
      <c r="A20" s="204" t="s">
        <v>21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3"/>
      <c r="O20" s="3"/>
      <c r="P20" s="3"/>
      <c r="Q20" s="40"/>
    </row>
    <row r="21" spans="1:17" ht="12.75" customHeight="1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3"/>
      <c r="O21" s="3"/>
      <c r="P21" s="3"/>
      <c r="Q21" s="40"/>
    </row>
    <row r="22" spans="1:17" ht="15" hidden="1">
      <c r="A22" s="67"/>
      <c r="B22" s="29"/>
      <c r="C22" s="30"/>
      <c r="D22" s="31"/>
      <c r="E22" s="32"/>
      <c r="F22" s="48"/>
      <c r="G22" s="34"/>
      <c r="H22" s="35"/>
      <c r="I22" s="36"/>
      <c r="J22" s="69"/>
      <c r="K22" s="50"/>
      <c r="L22" s="36"/>
      <c r="M22" s="36"/>
      <c r="N22" s="50"/>
      <c r="O22" s="50"/>
      <c r="P22" s="47"/>
      <c r="Q22" s="50"/>
    </row>
    <row r="23" spans="1:17" ht="15" hidden="1">
      <c r="A23" s="70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36"/>
      <c r="M23" s="36"/>
      <c r="N23" s="50"/>
      <c r="O23" s="50"/>
      <c r="P23" s="47"/>
      <c r="Q23" s="50"/>
    </row>
    <row r="24" spans="1:17" ht="15" hidden="1">
      <c r="A24" s="28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50"/>
      <c r="M24" s="36"/>
      <c r="N24" s="50"/>
      <c r="O24" s="50"/>
      <c r="P24" s="47"/>
      <c r="Q24" s="50"/>
    </row>
    <row r="25" spans="1:17" ht="15" hidden="1">
      <c r="A25" s="68" t="s">
        <v>15</v>
      </c>
      <c r="B25" s="45"/>
      <c r="C25" s="30"/>
      <c r="D25" s="31"/>
      <c r="E25" s="32">
        <f>E22+E23+E24</f>
        <v>0</v>
      </c>
      <c r="F25" s="33"/>
      <c r="G25" s="34"/>
      <c r="H25" s="36">
        <f>H22+H23+H24</f>
        <v>0</v>
      </c>
      <c r="I25" s="36">
        <f t="shared" ref="I25:N25" si="1">I22+I23+I24</f>
        <v>0</v>
      </c>
      <c r="J25" s="36">
        <f t="shared" si="1"/>
        <v>0</v>
      </c>
      <c r="K25" s="36">
        <f t="shared" si="1"/>
        <v>0</v>
      </c>
      <c r="L25" s="36"/>
      <c r="M25" s="36">
        <f t="shared" si="1"/>
        <v>0</v>
      </c>
      <c r="N25" s="50">
        <f t="shared" si="1"/>
        <v>0</v>
      </c>
      <c r="O25" s="50">
        <f>O22+O23+O24</f>
        <v>0</v>
      </c>
      <c r="P25" s="36">
        <f>P22+P23+P24</f>
        <v>0</v>
      </c>
      <c r="Q25" s="36">
        <f>Q22+Q23+Q24</f>
        <v>0</v>
      </c>
    </row>
    <row r="26" spans="1:17" ht="8.25" customHeight="1">
      <c r="A26" s="204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3"/>
      <c r="O26" s="3"/>
      <c r="P26" s="3"/>
      <c r="Q26" s="40"/>
    </row>
    <row r="27" spans="1:17" ht="15" hidden="1">
      <c r="A27" s="28"/>
      <c r="B27" s="29"/>
      <c r="C27" s="30"/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5">
      <c r="A28" s="44" t="s">
        <v>15</v>
      </c>
      <c r="B28" s="45"/>
      <c r="C28" s="30">
        <v>0</v>
      </c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8.75">
      <c r="A29" s="206" t="s">
        <v>17</v>
      </c>
      <c r="B29" s="207"/>
      <c r="C29" s="208"/>
      <c r="D29" s="208"/>
      <c r="E29" s="208"/>
      <c r="F29" s="209"/>
      <c r="G29" s="23"/>
      <c r="H29" s="57">
        <f>H19+H25</f>
        <v>500000</v>
      </c>
      <c r="I29" s="57">
        <f>I19+I25</f>
        <v>0</v>
      </c>
      <c r="J29" s="56">
        <f>J19+J25</f>
        <v>98000</v>
      </c>
      <c r="K29" s="56">
        <f>K19+K25</f>
        <v>402000</v>
      </c>
      <c r="L29" s="58"/>
      <c r="M29" s="57"/>
      <c r="N29" s="56">
        <f>N19+N25</f>
        <v>7252.9100000000008</v>
      </c>
      <c r="O29" s="56">
        <f>O19+O25</f>
        <v>6698.9900000000007</v>
      </c>
      <c r="P29" s="56">
        <f>P19+P25</f>
        <v>949.47000000000025</v>
      </c>
      <c r="Q29" s="56">
        <f>Q19+Q25</f>
        <v>402949.47</v>
      </c>
    </row>
    <row r="30" spans="1:17" ht="18.75">
      <c r="A30" s="18"/>
      <c r="B30" s="25"/>
      <c r="C30" s="19"/>
      <c r="D30" s="19"/>
      <c r="E30" s="20"/>
      <c r="F30" s="22"/>
      <c r="G30" s="22"/>
      <c r="H30" s="26"/>
      <c r="I30" s="27"/>
      <c r="J30" s="27"/>
      <c r="K30" s="26"/>
      <c r="L30" s="26"/>
      <c r="M30" s="26"/>
      <c r="N30" s="26"/>
      <c r="O30" s="26"/>
      <c r="P30" s="26"/>
      <c r="Q30" s="26"/>
    </row>
    <row r="31" spans="1:17">
      <c r="A31" s="1"/>
      <c r="B31" s="11"/>
      <c r="C31" s="5"/>
      <c r="D31" s="5"/>
      <c r="E31" s="10"/>
      <c r="F31" s="13"/>
      <c r="G31" s="13"/>
      <c r="H31" s="1"/>
      <c r="I31" s="1"/>
      <c r="J31" s="1"/>
      <c r="K31" s="1"/>
      <c r="L31" s="1"/>
      <c r="M31" s="1"/>
      <c r="N31" s="71"/>
      <c r="O31" s="1"/>
      <c r="P31" s="1"/>
      <c r="Q31" s="1"/>
    </row>
    <row r="32" spans="1:17" ht="15.75">
      <c r="A32" s="1"/>
      <c r="B32" s="196" t="s">
        <v>66</v>
      </c>
      <c r="C32" s="197"/>
      <c r="D32" s="197"/>
      <c r="E32" s="198"/>
      <c r="F32" s="199"/>
      <c r="G32" s="199"/>
      <c r="H32" s="200"/>
      <c r="I32" s="201"/>
      <c r="J32" s="201"/>
      <c r="K32" s="201"/>
      <c r="L32" s="1"/>
      <c r="M32" s="1"/>
      <c r="N32" s="1"/>
      <c r="O32" s="1"/>
      <c r="P32" s="1"/>
      <c r="Q32" s="1"/>
    </row>
    <row r="33" spans="1:17">
      <c r="A33" s="1"/>
      <c r="B33" s="11"/>
      <c r="C33" s="5"/>
      <c r="D33" s="5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>
      <c r="A35" s="1"/>
      <c r="B35" s="196" t="s">
        <v>79</v>
      </c>
      <c r="C35" s="202"/>
      <c r="D35" s="202"/>
      <c r="E35" s="202"/>
      <c r="F35" s="202"/>
      <c r="G35" s="202"/>
      <c r="H35" s="202"/>
      <c r="I35" s="202"/>
      <c r="J35" s="202"/>
      <c r="K35" s="202"/>
      <c r="L35" s="1"/>
      <c r="M35" s="1"/>
      <c r="N35" s="1"/>
      <c r="O35" s="1"/>
      <c r="P35" s="1"/>
      <c r="Q35" s="1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 s="1"/>
      <c r="B37" s="11"/>
      <c r="C37" s="191" t="s">
        <v>65</v>
      </c>
      <c r="D37" s="5"/>
      <c r="E37" s="10"/>
      <c r="F37" s="13"/>
      <c r="G37" s="13"/>
      <c r="H37" s="1"/>
      <c r="I37" s="1"/>
      <c r="J37" s="1" t="s">
        <v>67</v>
      </c>
      <c r="K37" s="1"/>
      <c r="L37" s="1"/>
      <c r="M37" s="1"/>
      <c r="N37" s="1"/>
      <c r="O37" s="1"/>
      <c r="P37" s="1"/>
      <c r="Q37" s="1"/>
    </row>
  </sheetData>
  <mergeCells count="11">
    <mergeCell ref="B35:K35"/>
    <mergeCell ref="A10:M10"/>
    <mergeCell ref="A13:M13"/>
    <mergeCell ref="A20:M20"/>
    <mergeCell ref="A26:M26"/>
    <mergeCell ref="B32:K32"/>
    <mergeCell ref="A1:Q1"/>
    <mergeCell ref="D2:K2"/>
    <mergeCell ref="N3:O3"/>
    <mergeCell ref="F5:J5"/>
    <mergeCell ref="A29:F29"/>
  </mergeCells>
  <phoneticPr fontId="8" type="noConversion"/>
  <pageMargins left="0.75" right="0.75" top="1" bottom="1" header="0.5" footer="0.5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8"/>
  <sheetViews>
    <sheetView view="pageBreakPreview" zoomScale="60" workbookViewId="0">
      <selection activeCell="N17" sqref="N17"/>
    </sheetView>
  </sheetViews>
  <sheetFormatPr defaultRowHeight="12.75"/>
  <cols>
    <col min="5" max="5" width="14" customWidth="1"/>
    <col min="6" max="6" width="16.7109375" customWidth="1"/>
    <col min="7" max="7" width="14.5703125" customWidth="1"/>
    <col min="8" max="8" width="19.7109375" customWidth="1"/>
    <col min="9" max="9" width="17.85546875" customWidth="1"/>
    <col min="10" max="10" width="19.85546875" customWidth="1"/>
    <col min="11" max="11" width="16.42578125" customWidth="1"/>
    <col min="13" max="14" width="16.28515625" customWidth="1"/>
    <col min="15" max="15" width="15.42578125" customWidth="1"/>
    <col min="16" max="16" width="16.28515625" customWidth="1"/>
    <col min="17" max="17" width="19.85546875" customWidth="1"/>
  </cols>
  <sheetData>
    <row r="1" spans="1:17" ht="20.25">
      <c r="A1" s="236" t="s">
        <v>46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8"/>
      <c r="P1" s="238"/>
      <c r="Q1" s="238"/>
    </row>
    <row r="2" spans="1:17" ht="20.25">
      <c r="A2" s="75"/>
      <c r="B2" s="76"/>
      <c r="C2" s="76"/>
      <c r="D2" s="239" t="s">
        <v>83</v>
      </c>
      <c r="E2" s="240"/>
      <c r="F2" s="240"/>
      <c r="G2" s="240"/>
      <c r="H2" s="240"/>
      <c r="I2" s="240"/>
      <c r="J2" s="240"/>
      <c r="K2" s="240"/>
      <c r="L2" s="75"/>
      <c r="M2" s="75"/>
      <c r="N2" s="75"/>
      <c r="O2" s="75"/>
      <c r="P2" s="75"/>
      <c r="Q2" s="75"/>
    </row>
    <row r="3" spans="1:17" ht="20.25">
      <c r="A3" s="75"/>
      <c r="B3" s="77"/>
      <c r="C3" s="78"/>
      <c r="D3" s="78"/>
      <c r="E3" s="78"/>
      <c r="F3" s="74"/>
      <c r="G3" s="79"/>
      <c r="H3" s="79"/>
      <c r="I3" s="79"/>
      <c r="J3" s="79"/>
      <c r="K3" s="79"/>
      <c r="L3" s="79"/>
      <c r="M3" s="79"/>
      <c r="N3" s="241" t="s">
        <v>22</v>
      </c>
      <c r="O3" s="241"/>
      <c r="P3" s="79"/>
      <c r="Q3" s="79"/>
    </row>
    <row r="4" spans="1:17" ht="20.25">
      <c r="A4" s="75"/>
      <c r="B4" s="80"/>
      <c r="C4" s="78"/>
      <c r="D4" s="78"/>
      <c r="E4" s="81"/>
      <c r="F4" s="82"/>
      <c r="G4" s="82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ht="20.25">
      <c r="A5" s="75"/>
      <c r="B5" s="80"/>
      <c r="C5" s="78"/>
      <c r="D5" s="78"/>
      <c r="E5" s="81"/>
      <c r="F5" s="242"/>
      <c r="G5" s="242"/>
      <c r="H5" s="242"/>
      <c r="I5" s="242"/>
      <c r="J5" s="242"/>
      <c r="K5" s="83"/>
      <c r="L5" s="75"/>
      <c r="M5" s="75"/>
      <c r="N5" s="75"/>
      <c r="O5" s="75"/>
      <c r="P5" s="75"/>
      <c r="Q5" s="75"/>
    </row>
    <row r="6" spans="1:17" ht="20.25">
      <c r="A6" s="75"/>
      <c r="B6" s="80"/>
      <c r="C6" s="78"/>
      <c r="D6" s="78"/>
      <c r="E6" s="81"/>
      <c r="F6" s="82"/>
      <c r="G6" s="82"/>
      <c r="H6" s="75"/>
      <c r="I6" s="75"/>
      <c r="J6" s="75"/>
      <c r="K6" s="75"/>
      <c r="L6" s="75"/>
      <c r="M6" s="75"/>
      <c r="N6" s="75"/>
      <c r="O6" s="75"/>
      <c r="P6" s="75"/>
      <c r="Q6" s="75"/>
    </row>
    <row r="7" spans="1:17" ht="20.25">
      <c r="A7" s="75"/>
      <c r="B7" s="80"/>
      <c r="C7" s="78"/>
      <c r="D7" s="78"/>
      <c r="E7" s="81"/>
      <c r="F7" s="82"/>
      <c r="G7" s="82"/>
      <c r="H7" s="75"/>
      <c r="I7" s="75"/>
      <c r="J7" s="75"/>
      <c r="K7" s="75"/>
      <c r="L7" s="75"/>
      <c r="M7" s="75"/>
      <c r="N7" s="75"/>
      <c r="O7" s="75"/>
      <c r="P7" s="75"/>
      <c r="Q7" s="75"/>
    </row>
    <row r="8" spans="1:17" ht="263.25">
      <c r="A8" s="84" t="s">
        <v>4</v>
      </c>
      <c r="B8" s="85" t="s">
        <v>5</v>
      </c>
      <c r="C8" s="85" t="s">
        <v>6</v>
      </c>
      <c r="D8" s="86" t="s">
        <v>0</v>
      </c>
      <c r="E8" s="85" t="s">
        <v>1</v>
      </c>
      <c r="F8" s="86" t="s">
        <v>2</v>
      </c>
      <c r="G8" s="85" t="s">
        <v>7</v>
      </c>
      <c r="H8" s="86" t="s">
        <v>10</v>
      </c>
      <c r="I8" s="85" t="s">
        <v>8</v>
      </c>
      <c r="J8" s="87" t="s">
        <v>9</v>
      </c>
      <c r="K8" s="85" t="s">
        <v>18</v>
      </c>
      <c r="L8" s="85" t="s">
        <v>3</v>
      </c>
      <c r="M8" s="85" t="s">
        <v>11</v>
      </c>
      <c r="N8" s="85" t="s">
        <v>13</v>
      </c>
      <c r="O8" s="85" t="s">
        <v>14</v>
      </c>
      <c r="P8" s="85" t="s">
        <v>12</v>
      </c>
      <c r="Q8" s="85" t="s">
        <v>16</v>
      </c>
    </row>
    <row r="9" spans="1:17" ht="20.25">
      <c r="A9" s="85">
        <v>1</v>
      </c>
      <c r="B9" s="86">
        <v>2</v>
      </c>
      <c r="C9" s="85">
        <v>3</v>
      </c>
      <c r="D9" s="86">
        <v>4</v>
      </c>
      <c r="E9" s="85">
        <v>5</v>
      </c>
      <c r="F9" s="86">
        <v>6</v>
      </c>
      <c r="G9" s="85">
        <v>7</v>
      </c>
      <c r="H9" s="86">
        <v>8</v>
      </c>
      <c r="I9" s="85">
        <v>9</v>
      </c>
      <c r="J9" s="86">
        <v>10</v>
      </c>
      <c r="K9" s="86">
        <v>11</v>
      </c>
      <c r="L9" s="85">
        <v>12</v>
      </c>
      <c r="M9" s="86">
        <v>13</v>
      </c>
      <c r="N9" s="85">
        <v>14</v>
      </c>
      <c r="O9" s="86">
        <v>15</v>
      </c>
      <c r="P9" s="85">
        <v>16</v>
      </c>
      <c r="Q9" s="87">
        <v>17</v>
      </c>
    </row>
    <row r="10" spans="1:17" ht="20.25">
      <c r="A10" s="225" t="s">
        <v>19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89"/>
      <c r="O10" s="89"/>
      <c r="P10" s="89"/>
      <c r="Q10" s="90"/>
    </row>
    <row r="11" spans="1:17" ht="20.25">
      <c r="A11" s="91"/>
      <c r="B11" s="92"/>
      <c r="C11" s="93"/>
      <c r="D11" s="94"/>
      <c r="E11" s="85"/>
      <c r="F11" s="95"/>
      <c r="G11" s="96"/>
      <c r="H11" s="97"/>
      <c r="I11" s="98"/>
      <c r="J11" s="99"/>
      <c r="K11" s="98"/>
      <c r="L11" s="98"/>
      <c r="M11" s="98"/>
      <c r="N11" s="98"/>
      <c r="O11" s="98"/>
      <c r="P11" s="98"/>
      <c r="Q11" s="98"/>
    </row>
    <row r="12" spans="1:17" ht="20.25">
      <c r="A12" s="100" t="s">
        <v>15</v>
      </c>
      <c r="B12" s="101"/>
      <c r="C12" s="93"/>
      <c r="D12" s="94"/>
      <c r="E12" s="85"/>
      <c r="F12" s="95"/>
      <c r="G12" s="96"/>
      <c r="H12" s="97"/>
      <c r="I12" s="98"/>
      <c r="J12" s="99"/>
      <c r="K12" s="98"/>
      <c r="L12" s="98"/>
      <c r="M12" s="98"/>
      <c r="N12" s="98"/>
      <c r="O12" s="98"/>
      <c r="P12" s="98"/>
      <c r="Q12" s="98"/>
    </row>
    <row r="13" spans="1:17" ht="20.25">
      <c r="A13" s="223" t="s">
        <v>20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102"/>
      <c r="O13" s="102"/>
      <c r="P13" s="102"/>
      <c r="Q13" s="103"/>
    </row>
    <row r="14" spans="1:17" ht="20.25">
      <c r="A14" s="91"/>
      <c r="B14" s="92"/>
      <c r="C14" s="93"/>
      <c r="D14" s="94"/>
      <c r="E14" s="104"/>
      <c r="F14" s="105"/>
      <c r="G14" s="106"/>
      <c r="H14" s="98"/>
      <c r="I14" s="98"/>
      <c r="J14" s="98"/>
      <c r="K14" s="98"/>
      <c r="L14" s="107"/>
      <c r="M14" s="108"/>
      <c r="N14" s="108"/>
      <c r="O14" s="108"/>
      <c r="P14" s="104"/>
      <c r="Q14" s="108"/>
    </row>
    <row r="15" spans="1:17" ht="222.75">
      <c r="A15" s="91">
        <v>1</v>
      </c>
      <c r="B15" s="92" t="s">
        <v>24</v>
      </c>
      <c r="C15" s="93" t="s">
        <v>47</v>
      </c>
      <c r="D15" s="94" t="s">
        <v>32</v>
      </c>
      <c r="E15" s="85">
        <v>200000</v>
      </c>
      <c r="F15" s="105">
        <v>41618</v>
      </c>
      <c r="G15" s="109" t="s">
        <v>50</v>
      </c>
      <c r="H15" s="110">
        <v>47000</v>
      </c>
      <c r="I15" s="111"/>
      <c r="J15" s="112">
        <v>47000</v>
      </c>
      <c r="K15" s="98">
        <f>H15-J15+I15</f>
        <v>0</v>
      </c>
      <c r="L15" s="108">
        <v>2.75</v>
      </c>
      <c r="M15" s="108">
        <v>3694.64</v>
      </c>
      <c r="N15" s="108">
        <f>402.09+0.15+261.8+31.54+37.43+37.43+90.75+38.84+37.91+39.49</f>
        <v>977.42999999999984</v>
      </c>
      <c r="O15" s="108"/>
      <c r="P15" s="108">
        <f>M15+N15-O15</f>
        <v>4672.07</v>
      </c>
      <c r="Q15" s="108">
        <f>K15+P15</f>
        <v>4672.07</v>
      </c>
    </row>
    <row r="16" spans="1:17" ht="141.75">
      <c r="A16" s="91">
        <v>2</v>
      </c>
      <c r="B16" s="92" t="s">
        <v>24</v>
      </c>
      <c r="C16" s="93" t="s">
        <v>75</v>
      </c>
      <c r="D16" s="94"/>
      <c r="E16" s="104">
        <v>380000</v>
      </c>
      <c r="F16" s="105">
        <v>42819</v>
      </c>
      <c r="G16" s="109" t="s">
        <v>50</v>
      </c>
      <c r="H16" s="98">
        <v>380000</v>
      </c>
      <c r="I16" s="98"/>
      <c r="J16" s="98">
        <f>22000+11000</f>
        <v>33000</v>
      </c>
      <c r="K16" s="98">
        <f>H16-J16+I16</f>
        <v>347000</v>
      </c>
      <c r="L16" s="108">
        <v>2.75</v>
      </c>
      <c r="M16" s="108">
        <v>300.62</v>
      </c>
      <c r="N16" s="108">
        <f>887.53+801.64+887.53+54.39+858.9+16.42+859.36+32.45+751.09+27.23+38.77+810.46+157.3+47.02</f>
        <v>6230.09</v>
      </c>
      <c r="O16" s="108"/>
      <c r="P16" s="108">
        <f>M16+N16-O16</f>
        <v>6530.71</v>
      </c>
      <c r="Q16" s="108">
        <f>K16+P16</f>
        <v>353530.71</v>
      </c>
    </row>
    <row r="17" spans="1:17" ht="20.25">
      <c r="A17" s="91"/>
      <c r="B17" s="113"/>
      <c r="C17" s="93"/>
      <c r="D17" s="94"/>
      <c r="E17" s="104"/>
      <c r="F17" s="105"/>
      <c r="G17" s="114"/>
      <c r="H17" s="98"/>
      <c r="I17" s="98"/>
      <c r="J17" s="98"/>
      <c r="K17" s="98"/>
      <c r="L17" s="107"/>
      <c r="M17" s="108"/>
      <c r="N17" s="108"/>
      <c r="O17" s="108"/>
      <c r="P17" s="108"/>
      <c r="Q17" s="108"/>
    </row>
    <row r="18" spans="1:17" ht="20.25">
      <c r="A18" s="115"/>
      <c r="B18" s="113"/>
      <c r="C18" s="93"/>
      <c r="D18" s="94"/>
      <c r="E18" s="104"/>
      <c r="F18" s="105"/>
      <c r="G18" s="114"/>
      <c r="H18" s="98"/>
      <c r="I18" s="98"/>
      <c r="J18" s="98"/>
      <c r="K18" s="98">
        <f>I18-J18</f>
        <v>0</v>
      </c>
      <c r="L18" s="107"/>
      <c r="M18" s="108"/>
      <c r="N18" s="108"/>
      <c r="O18" s="108"/>
      <c r="P18" s="108"/>
      <c r="Q18" s="108"/>
    </row>
    <row r="19" spans="1:17" ht="20.25">
      <c r="A19" s="100" t="s">
        <v>15</v>
      </c>
      <c r="B19" s="101"/>
      <c r="C19" s="93"/>
      <c r="D19" s="94"/>
      <c r="E19" s="104">
        <f>E14+E15+E16+E17+E18</f>
        <v>580000</v>
      </c>
      <c r="F19" s="104"/>
      <c r="G19" s="104"/>
      <c r="H19" s="104">
        <f>H14+H15+H16+H17+H18</f>
        <v>427000</v>
      </c>
      <c r="I19" s="104">
        <f>I14+I15+I16+I17+I18</f>
        <v>0</v>
      </c>
      <c r="J19" s="104">
        <f>J14+J15+J16+J17+J18</f>
        <v>80000</v>
      </c>
      <c r="K19" s="104">
        <f>K14+K15+K16+K17+K18</f>
        <v>347000</v>
      </c>
      <c r="L19" s="104"/>
      <c r="M19" s="104">
        <f>M15+M16</f>
        <v>3995.2599999999998</v>
      </c>
      <c r="N19" s="104">
        <f>N14+N15+N16+N17+N18</f>
        <v>7207.52</v>
      </c>
      <c r="O19" s="104">
        <f>O14+O15+O16+O17+O18</f>
        <v>0</v>
      </c>
      <c r="P19" s="108">
        <f>M19+N19-O19</f>
        <v>11202.78</v>
      </c>
      <c r="Q19" s="108">
        <f>K19+P19</f>
        <v>358202.78</v>
      </c>
    </row>
    <row r="20" spans="1:17" ht="20.25">
      <c r="A20" s="225" t="s">
        <v>21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75"/>
      <c r="O20" s="75"/>
      <c r="P20" s="108"/>
      <c r="Q20" s="117"/>
    </row>
    <row r="21" spans="1:17" ht="20.25">
      <c r="A21" s="88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75"/>
      <c r="O21" s="75"/>
      <c r="P21" s="108"/>
      <c r="Q21" s="117"/>
    </row>
    <row r="22" spans="1:17" ht="21" thickBot="1">
      <c r="A22" s="118"/>
      <c r="B22" s="92"/>
      <c r="C22" s="93"/>
      <c r="D22" s="94"/>
      <c r="E22" s="85"/>
      <c r="F22" s="105"/>
      <c r="G22" s="96"/>
      <c r="H22" s="97"/>
      <c r="I22" s="98"/>
      <c r="J22" s="119"/>
      <c r="K22" s="108"/>
      <c r="L22" s="98"/>
      <c r="M22" s="98"/>
      <c r="N22" s="108"/>
      <c r="O22" s="108"/>
      <c r="P22" s="108"/>
      <c r="Q22" s="108"/>
    </row>
    <row r="23" spans="1:17" ht="20.25">
      <c r="A23" s="120"/>
      <c r="B23" s="92"/>
      <c r="C23" s="93"/>
      <c r="D23" s="94"/>
      <c r="E23" s="85"/>
      <c r="F23" s="105"/>
      <c r="G23" s="96"/>
      <c r="H23" s="97"/>
      <c r="I23" s="98"/>
      <c r="J23" s="119"/>
      <c r="K23" s="98"/>
      <c r="L23" s="98"/>
      <c r="M23" s="98"/>
      <c r="N23" s="108"/>
      <c r="O23" s="108"/>
      <c r="P23" s="108"/>
      <c r="Q23" s="108"/>
    </row>
    <row r="24" spans="1:17" ht="20.25">
      <c r="A24" s="91"/>
      <c r="B24" s="92"/>
      <c r="C24" s="93"/>
      <c r="D24" s="94"/>
      <c r="E24" s="85"/>
      <c r="F24" s="105"/>
      <c r="G24" s="96"/>
      <c r="H24" s="97"/>
      <c r="I24" s="98"/>
      <c r="J24" s="119"/>
      <c r="K24" s="98"/>
      <c r="L24" s="108"/>
      <c r="M24" s="98"/>
      <c r="N24" s="108"/>
      <c r="O24" s="108"/>
      <c r="P24" s="108"/>
      <c r="Q24" s="108"/>
    </row>
    <row r="25" spans="1:17" ht="20.25">
      <c r="A25" s="121" t="s">
        <v>15</v>
      </c>
      <c r="B25" s="101"/>
      <c r="C25" s="93"/>
      <c r="D25" s="94"/>
      <c r="E25" s="85">
        <f>E22+E23+E24</f>
        <v>0</v>
      </c>
      <c r="F25" s="95"/>
      <c r="G25" s="96"/>
      <c r="H25" s="98">
        <f>H22+H23+H24</f>
        <v>0</v>
      </c>
      <c r="I25" s="98">
        <f t="shared" ref="I25:N25" si="0">I22+I23+I24</f>
        <v>0</v>
      </c>
      <c r="J25" s="98">
        <f t="shared" si="0"/>
        <v>0</v>
      </c>
      <c r="K25" s="98">
        <f t="shared" si="0"/>
        <v>0</v>
      </c>
      <c r="L25" s="98"/>
      <c r="M25" s="98">
        <f t="shared" si="0"/>
        <v>0</v>
      </c>
      <c r="N25" s="108">
        <f t="shared" si="0"/>
        <v>0</v>
      </c>
      <c r="O25" s="108">
        <f>O22+O23+O24</f>
        <v>0</v>
      </c>
      <c r="P25" s="108">
        <f>M25+N25</f>
        <v>0</v>
      </c>
      <c r="Q25" s="98">
        <f>Q22+Q23+Q24</f>
        <v>0</v>
      </c>
    </row>
    <row r="26" spans="1:17" ht="20.25">
      <c r="A26" s="225"/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75"/>
      <c r="O26" s="75"/>
      <c r="P26" s="108"/>
      <c r="Q26" s="117"/>
    </row>
    <row r="27" spans="1:17" ht="20.25">
      <c r="A27" s="91"/>
      <c r="B27" s="92"/>
      <c r="C27" s="93"/>
      <c r="D27" s="94"/>
      <c r="E27" s="85"/>
      <c r="F27" s="95"/>
      <c r="G27" s="96"/>
      <c r="H27" s="97"/>
      <c r="I27" s="98"/>
      <c r="J27" s="99"/>
      <c r="K27" s="98"/>
      <c r="L27" s="98"/>
      <c r="M27" s="98"/>
      <c r="N27" s="98"/>
      <c r="O27" s="98"/>
      <c r="P27" s="108"/>
      <c r="Q27" s="98"/>
    </row>
    <row r="28" spans="1:17" ht="20.25">
      <c r="A28" s="100" t="s">
        <v>15</v>
      </c>
      <c r="B28" s="101"/>
      <c r="C28" s="93">
        <v>0</v>
      </c>
      <c r="D28" s="94"/>
      <c r="E28" s="85"/>
      <c r="F28" s="95"/>
      <c r="G28" s="96"/>
      <c r="H28" s="97"/>
      <c r="I28" s="98"/>
      <c r="J28" s="99"/>
      <c r="K28" s="98"/>
      <c r="L28" s="98"/>
      <c r="M28" s="98"/>
      <c r="N28" s="98"/>
      <c r="O28" s="98"/>
      <c r="P28" s="108"/>
      <c r="Q28" s="98"/>
    </row>
    <row r="29" spans="1:17" ht="20.25">
      <c r="A29" s="228" t="s">
        <v>17</v>
      </c>
      <c r="B29" s="229"/>
      <c r="C29" s="230"/>
      <c r="D29" s="230"/>
      <c r="E29" s="230"/>
      <c r="F29" s="231"/>
      <c r="G29" s="122"/>
      <c r="H29" s="123">
        <f>H19+H25</f>
        <v>427000</v>
      </c>
      <c r="I29" s="123">
        <f>I19+I25</f>
        <v>0</v>
      </c>
      <c r="J29" s="124">
        <f>J19+J25</f>
        <v>80000</v>
      </c>
      <c r="K29" s="124">
        <f>K19+K25</f>
        <v>347000</v>
      </c>
      <c r="L29" s="125"/>
      <c r="M29" s="123">
        <v>247.72</v>
      </c>
      <c r="N29" s="124">
        <f>N19+N25</f>
        <v>7207.52</v>
      </c>
      <c r="O29" s="124">
        <f>O19+O25</f>
        <v>0</v>
      </c>
      <c r="P29" s="108">
        <f>M29+N29-O29</f>
        <v>7455.2400000000007</v>
      </c>
      <c r="Q29" s="124">
        <f>Q19+Q25</f>
        <v>358202.78</v>
      </c>
    </row>
    <row r="30" spans="1:17" ht="20.25">
      <c r="A30" s="126"/>
      <c r="B30" s="127"/>
      <c r="C30" s="128"/>
      <c r="D30" s="128"/>
      <c r="E30" s="129"/>
      <c r="F30" s="130"/>
      <c r="G30" s="130"/>
      <c r="H30" s="131"/>
      <c r="I30" s="132"/>
      <c r="J30" s="132"/>
      <c r="K30" s="131"/>
      <c r="L30" s="131"/>
      <c r="M30" s="131"/>
      <c r="N30" s="131"/>
      <c r="O30" s="131"/>
      <c r="P30" s="131"/>
      <c r="Q30" s="131"/>
    </row>
    <row r="31" spans="1:17" ht="20.25">
      <c r="A31" s="75"/>
      <c r="B31" s="80"/>
      <c r="C31" s="78"/>
      <c r="D31" s="78"/>
      <c r="E31" s="81"/>
      <c r="F31" s="82"/>
      <c r="G31" s="82"/>
      <c r="H31" s="75"/>
      <c r="I31" s="75"/>
      <c r="J31" s="75"/>
      <c r="K31" s="75"/>
      <c r="L31" s="75"/>
      <c r="M31" s="75"/>
      <c r="N31" s="133"/>
      <c r="O31" s="75"/>
      <c r="P31" s="75"/>
      <c r="Q31" s="75"/>
    </row>
    <row r="32" spans="1:17" ht="20.25">
      <c r="A32" s="75"/>
      <c r="B32" s="221" t="s">
        <v>63</v>
      </c>
      <c r="C32" s="232"/>
      <c r="D32" s="232"/>
      <c r="E32" s="233"/>
      <c r="F32" s="234"/>
      <c r="G32" s="234"/>
      <c r="H32" s="235"/>
      <c r="I32" s="222"/>
      <c r="J32" s="222"/>
      <c r="K32" s="222"/>
      <c r="L32" s="75"/>
      <c r="M32" s="75"/>
      <c r="N32" s="75"/>
      <c r="O32" s="75"/>
      <c r="P32" s="75"/>
      <c r="Q32" s="75"/>
    </row>
    <row r="33" spans="1:17" ht="20.25">
      <c r="A33" s="75"/>
      <c r="B33" s="80"/>
      <c r="C33" s="78"/>
      <c r="D33" s="78"/>
      <c r="E33" s="81"/>
      <c r="F33" s="82"/>
      <c r="G33" s="82"/>
      <c r="H33" s="75"/>
      <c r="I33" s="75"/>
      <c r="J33" s="75"/>
      <c r="K33" s="75"/>
      <c r="L33" s="75"/>
      <c r="M33" s="75"/>
      <c r="N33" s="75"/>
      <c r="O33" s="75"/>
      <c r="P33" s="75"/>
      <c r="Q33" s="75"/>
    </row>
    <row r="34" spans="1:17" ht="20.25">
      <c r="A34" s="75"/>
      <c r="B34" s="80"/>
      <c r="C34" s="78"/>
      <c r="D34" s="78"/>
      <c r="E34" s="81"/>
      <c r="F34" s="82"/>
      <c r="G34" s="82"/>
      <c r="H34" s="75"/>
      <c r="I34" s="75"/>
      <c r="J34" s="75"/>
      <c r="K34" s="75"/>
      <c r="L34" s="75"/>
      <c r="M34" s="75"/>
      <c r="N34" s="75"/>
      <c r="O34" s="75"/>
      <c r="P34" s="75"/>
      <c r="Q34" s="75"/>
    </row>
    <row r="35" spans="1:17" ht="20.25">
      <c r="A35" s="75"/>
      <c r="B35" s="221" t="s">
        <v>80</v>
      </c>
      <c r="C35" s="222"/>
      <c r="D35" s="222"/>
      <c r="E35" s="222"/>
      <c r="F35" s="222"/>
      <c r="G35" s="222"/>
      <c r="H35" s="222"/>
      <c r="I35" s="222"/>
      <c r="J35" s="222"/>
      <c r="K35" s="222"/>
      <c r="L35" s="75"/>
      <c r="M35" s="75"/>
      <c r="N35" s="75"/>
      <c r="O35" s="75"/>
      <c r="P35" s="75"/>
      <c r="Q35" s="75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8" spans="1:17">
      <c r="B38" t="s">
        <v>68</v>
      </c>
    </row>
  </sheetData>
  <mergeCells count="11">
    <mergeCell ref="A1:Q1"/>
    <mergeCell ref="D2:K2"/>
    <mergeCell ref="N3:O3"/>
    <mergeCell ref="F5:J5"/>
    <mergeCell ref="A10:M10"/>
    <mergeCell ref="B35:K35"/>
    <mergeCell ref="A13:M13"/>
    <mergeCell ref="A20:M20"/>
    <mergeCell ref="A26:M26"/>
    <mergeCell ref="A29:F29"/>
    <mergeCell ref="B32:K32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workbookViewId="0">
      <selection activeCell="N16" sqref="N16"/>
    </sheetView>
  </sheetViews>
  <sheetFormatPr defaultRowHeight="12.75"/>
  <cols>
    <col min="3" max="3" width="11.28515625" customWidth="1"/>
    <col min="5" max="5" width="18" customWidth="1"/>
    <col min="6" max="6" width="16.42578125" customWidth="1"/>
    <col min="8" max="8" width="18.28515625" customWidth="1"/>
    <col min="9" max="9" width="15.42578125" customWidth="1"/>
    <col min="10" max="10" width="17.28515625" customWidth="1"/>
    <col min="11" max="11" width="18" customWidth="1"/>
    <col min="13" max="13" width="14" customWidth="1"/>
    <col min="14" max="14" width="14.85546875" customWidth="1"/>
    <col min="15" max="15" width="15.42578125" customWidth="1"/>
    <col min="16" max="16" width="13.42578125" customWidth="1"/>
    <col min="17" max="17" width="22.28515625" customWidth="1"/>
  </cols>
  <sheetData>
    <row r="1" spans="1:17" ht="18">
      <c r="A1" s="218" t="s">
        <v>48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59"/>
      <c r="P1" s="259"/>
      <c r="Q1" s="259"/>
    </row>
    <row r="2" spans="1:17" ht="18.75">
      <c r="A2" s="134"/>
      <c r="B2" s="135"/>
      <c r="C2" s="135"/>
      <c r="D2" s="260" t="s">
        <v>83</v>
      </c>
      <c r="E2" s="261"/>
      <c r="F2" s="261"/>
      <c r="G2" s="261"/>
      <c r="H2" s="261"/>
      <c r="I2" s="261"/>
      <c r="J2" s="261"/>
      <c r="K2" s="261"/>
      <c r="L2" s="134"/>
      <c r="M2" s="134"/>
      <c r="N2" s="134"/>
      <c r="O2" s="134"/>
      <c r="P2" s="134"/>
      <c r="Q2" s="134"/>
    </row>
    <row r="3" spans="1:17" ht="18.75">
      <c r="A3" s="134"/>
      <c r="B3" s="136"/>
      <c r="C3" s="137"/>
      <c r="D3" s="137"/>
      <c r="E3" s="137"/>
      <c r="F3" s="73"/>
      <c r="G3" s="138"/>
      <c r="H3" s="138"/>
      <c r="I3" s="138"/>
      <c r="J3" s="138"/>
      <c r="K3" s="138"/>
      <c r="L3" s="138"/>
      <c r="M3" s="138"/>
      <c r="N3" s="262" t="s">
        <v>22</v>
      </c>
      <c r="O3" s="262"/>
      <c r="P3" s="138"/>
      <c r="Q3" s="138"/>
    </row>
    <row r="4" spans="1:17" ht="3" customHeight="1">
      <c r="A4" s="134"/>
      <c r="B4" s="139"/>
      <c r="C4" s="137"/>
      <c r="D4" s="137"/>
      <c r="E4" s="140"/>
      <c r="F4" s="141"/>
      <c r="G4" s="141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7" ht="18.75" hidden="1">
      <c r="A5" s="134"/>
      <c r="B5" s="139"/>
      <c r="C5" s="137"/>
      <c r="D5" s="137"/>
      <c r="E5" s="140"/>
      <c r="F5" s="263"/>
      <c r="G5" s="263"/>
      <c r="H5" s="263"/>
      <c r="I5" s="263"/>
      <c r="J5" s="263"/>
      <c r="K5" s="142"/>
      <c r="L5" s="134"/>
      <c r="M5" s="134"/>
      <c r="N5" s="134"/>
      <c r="O5" s="134"/>
      <c r="P5" s="134"/>
      <c r="Q5" s="134"/>
    </row>
    <row r="6" spans="1:17" ht="18.75" hidden="1">
      <c r="A6" s="134"/>
      <c r="B6" s="139"/>
      <c r="C6" s="137"/>
      <c r="D6" s="137"/>
      <c r="E6" s="140"/>
      <c r="F6" s="141"/>
      <c r="G6" s="141"/>
      <c r="H6" s="134"/>
      <c r="I6" s="134"/>
      <c r="J6" s="134"/>
      <c r="K6" s="134"/>
      <c r="L6" s="134"/>
      <c r="M6" s="134"/>
      <c r="N6" s="134"/>
      <c r="O6" s="134"/>
      <c r="P6" s="134"/>
      <c r="Q6" s="134"/>
    </row>
    <row r="7" spans="1:17" ht="18.75" hidden="1">
      <c r="A7" s="134"/>
      <c r="B7" s="139"/>
      <c r="C7" s="137"/>
      <c r="D7" s="137"/>
      <c r="E7" s="140"/>
      <c r="F7" s="141"/>
      <c r="G7" s="141"/>
      <c r="H7" s="134"/>
      <c r="I7" s="134"/>
      <c r="J7" s="134"/>
      <c r="K7" s="134"/>
      <c r="L7" s="134"/>
      <c r="M7" s="134"/>
      <c r="N7" s="134"/>
      <c r="O7" s="134"/>
      <c r="P7" s="134"/>
      <c r="Q7" s="134"/>
    </row>
    <row r="8" spans="1:17" ht="187.5">
      <c r="A8" s="143" t="s">
        <v>4</v>
      </c>
      <c r="B8" s="144" t="s">
        <v>5</v>
      </c>
      <c r="C8" s="144" t="s">
        <v>6</v>
      </c>
      <c r="D8" s="145" t="s">
        <v>0</v>
      </c>
      <c r="E8" s="144" t="s">
        <v>1</v>
      </c>
      <c r="F8" s="145" t="s">
        <v>2</v>
      </c>
      <c r="G8" s="144" t="s">
        <v>7</v>
      </c>
      <c r="H8" s="145" t="s">
        <v>10</v>
      </c>
      <c r="I8" s="144" t="s">
        <v>8</v>
      </c>
      <c r="J8" s="146" t="s">
        <v>9</v>
      </c>
      <c r="K8" s="144" t="s">
        <v>18</v>
      </c>
      <c r="L8" s="144" t="s">
        <v>3</v>
      </c>
      <c r="M8" s="144" t="s">
        <v>11</v>
      </c>
      <c r="N8" s="144" t="s">
        <v>13</v>
      </c>
      <c r="O8" s="144" t="s">
        <v>14</v>
      </c>
      <c r="P8" s="144" t="s">
        <v>12</v>
      </c>
      <c r="Q8" s="144" t="s">
        <v>16</v>
      </c>
    </row>
    <row r="9" spans="1:17" ht="18.75">
      <c r="A9" s="144">
        <v>1</v>
      </c>
      <c r="B9" s="145">
        <v>2</v>
      </c>
      <c r="C9" s="144">
        <v>3</v>
      </c>
      <c r="D9" s="145">
        <v>4</v>
      </c>
      <c r="E9" s="144">
        <v>5</v>
      </c>
      <c r="F9" s="145">
        <v>6</v>
      </c>
      <c r="G9" s="144">
        <v>7</v>
      </c>
      <c r="H9" s="145">
        <v>8</v>
      </c>
      <c r="I9" s="144">
        <v>9</v>
      </c>
      <c r="J9" s="145">
        <v>10</v>
      </c>
      <c r="K9" s="145">
        <v>11</v>
      </c>
      <c r="L9" s="144">
        <v>12</v>
      </c>
      <c r="M9" s="145">
        <v>13</v>
      </c>
      <c r="N9" s="144">
        <v>14</v>
      </c>
      <c r="O9" s="145">
        <v>15</v>
      </c>
      <c r="P9" s="144">
        <v>16</v>
      </c>
      <c r="Q9" s="146">
        <v>17</v>
      </c>
    </row>
    <row r="10" spans="1:17" ht="18.75">
      <c r="A10" s="248" t="s">
        <v>19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148"/>
      <c r="O10" s="148"/>
      <c r="P10" s="148"/>
      <c r="Q10" s="149"/>
    </row>
    <row r="11" spans="1:17" ht="19.5">
      <c r="A11" s="150"/>
      <c r="B11" s="151"/>
      <c r="C11" s="152"/>
      <c r="D11" s="153"/>
      <c r="E11" s="144"/>
      <c r="F11" s="154"/>
      <c r="G11" s="155"/>
      <c r="H11" s="156"/>
      <c r="I11" s="157"/>
      <c r="J11" s="158"/>
      <c r="K11" s="157"/>
      <c r="L11" s="157"/>
      <c r="M11" s="157"/>
      <c r="N11" s="157"/>
      <c r="O11" s="157"/>
      <c r="P11" s="157"/>
      <c r="Q11" s="157"/>
    </row>
    <row r="12" spans="1:17" ht="19.5">
      <c r="A12" s="159" t="s">
        <v>15</v>
      </c>
      <c r="B12" s="160"/>
      <c r="C12" s="152"/>
      <c r="D12" s="153"/>
      <c r="E12" s="144"/>
      <c r="F12" s="154"/>
      <c r="G12" s="155"/>
      <c r="H12" s="156"/>
      <c r="I12" s="157"/>
      <c r="J12" s="158"/>
      <c r="K12" s="157"/>
      <c r="L12" s="157"/>
      <c r="M12" s="157"/>
      <c r="N12" s="157"/>
      <c r="O12" s="157"/>
      <c r="P12" s="157"/>
      <c r="Q12" s="157"/>
    </row>
    <row r="13" spans="1:17" ht="18.75">
      <c r="A13" s="246" t="s">
        <v>20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161"/>
      <c r="O13" s="161"/>
      <c r="P13" s="161"/>
      <c r="Q13" s="162"/>
    </row>
    <row r="14" spans="1:17" ht="19.5">
      <c r="A14" s="150"/>
      <c r="B14" s="151"/>
      <c r="C14" s="152"/>
      <c r="D14" s="153"/>
      <c r="E14" s="163"/>
      <c r="F14" s="164"/>
      <c r="G14" s="165"/>
      <c r="H14" s="157"/>
      <c r="I14" s="157"/>
      <c r="J14" s="157"/>
      <c r="K14" s="157"/>
      <c r="L14" s="166"/>
      <c r="M14" s="167"/>
      <c r="N14" s="167"/>
      <c r="O14" s="167"/>
      <c r="P14" s="163"/>
      <c r="Q14" s="167"/>
    </row>
    <row r="15" spans="1:17" ht="187.5">
      <c r="A15" s="150">
        <v>2</v>
      </c>
      <c r="B15" s="151" t="s">
        <v>24</v>
      </c>
      <c r="C15" s="152" t="s">
        <v>76</v>
      </c>
      <c r="D15" s="153" t="s">
        <v>32</v>
      </c>
      <c r="E15" s="163">
        <v>1100000</v>
      </c>
      <c r="F15" s="164">
        <v>42819</v>
      </c>
      <c r="G15" s="168" t="s">
        <v>50</v>
      </c>
      <c r="H15" s="157">
        <v>1100000</v>
      </c>
      <c r="I15" s="157"/>
      <c r="J15" s="157">
        <f>31000+31000+31000+31000</f>
        <v>124000</v>
      </c>
      <c r="K15" s="157">
        <f>H15-J15+I15</f>
        <v>976000</v>
      </c>
      <c r="L15" s="178">
        <v>2.75</v>
      </c>
      <c r="M15" s="167">
        <v>870.21</v>
      </c>
      <c r="N15" s="167">
        <f>2569.18+2320.55+2569.18+3641.9+3729.45+110.83+2935.64+2897.67+3125.24+51.15</f>
        <v>23950.79</v>
      </c>
      <c r="O15" s="167">
        <f>2569.18+3190.76+2569.18+7482.18+2935.64+2897.67</f>
        <v>21644.61</v>
      </c>
      <c r="P15" s="167">
        <f>N15-O15+M15</f>
        <v>3176.3900000000003</v>
      </c>
      <c r="Q15" s="167">
        <f>K15+M15+N15-O15</f>
        <v>979176.39</v>
      </c>
    </row>
    <row r="16" spans="1:17" ht="19.5">
      <c r="A16" s="150"/>
      <c r="B16" s="172"/>
      <c r="C16" s="152"/>
      <c r="D16" s="153"/>
      <c r="E16" s="163"/>
      <c r="F16" s="164"/>
      <c r="G16" s="173"/>
      <c r="H16" s="157"/>
      <c r="I16" s="157"/>
      <c r="J16" s="157"/>
      <c r="K16" s="157"/>
      <c r="L16" s="166"/>
      <c r="M16" s="167"/>
      <c r="N16" s="167"/>
      <c r="O16" s="167"/>
      <c r="P16" s="167"/>
      <c r="Q16" s="167"/>
    </row>
    <row r="17" spans="1:17" ht="19.5">
      <c r="A17" s="174"/>
      <c r="B17" s="172"/>
      <c r="C17" s="152"/>
      <c r="D17" s="153"/>
      <c r="E17" s="163"/>
      <c r="F17" s="164"/>
      <c r="G17" s="173"/>
      <c r="H17" s="157"/>
      <c r="I17" s="157"/>
      <c r="J17" s="157"/>
      <c r="K17" s="157">
        <f>I17-J17</f>
        <v>0</v>
      </c>
      <c r="L17" s="166"/>
      <c r="M17" s="167"/>
      <c r="N17" s="167"/>
      <c r="O17" s="167"/>
      <c r="P17" s="167"/>
      <c r="Q17" s="157"/>
    </row>
    <row r="18" spans="1:17" ht="18.75">
      <c r="A18" s="159" t="s">
        <v>15</v>
      </c>
      <c r="B18" s="160"/>
      <c r="C18" s="152"/>
      <c r="D18" s="153"/>
      <c r="E18" s="163">
        <f>E15+E16+E17</f>
        <v>1100000</v>
      </c>
      <c r="F18" s="163"/>
      <c r="G18" s="163"/>
      <c r="H18" s="163">
        <v>110000</v>
      </c>
      <c r="I18" s="163"/>
      <c r="J18" s="163">
        <f t="shared" ref="J18:Q18" si="0">J15+J16+J17</f>
        <v>124000</v>
      </c>
      <c r="K18" s="163">
        <f t="shared" si="0"/>
        <v>976000</v>
      </c>
      <c r="L18" s="163">
        <f t="shared" si="0"/>
        <v>2.75</v>
      </c>
      <c r="M18" s="163">
        <f t="shared" si="0"/>
        <v>870.21</v>
      </c>
      <c r="N18" s="163">
        <f t="shared" si="0"/>
        <v>23950.79</v>
      </c>
      <c r="O18" s="163">
        <f t="shared" si="0"/>
        <v>21644.61</v>
      </c>
      <c r="P18" s="163">
        <f t="shared" si="0"/>
        <v>3176.3900000000003</v>
      </c>
      <c r="Q18" s="163">
        <f t="shared" si="0"/>
        <v>979176.39</v>
      </c>
    </row>
    <row r="19" spans="1:17" ht="18.75">
      <c r="A19" s="248" t="s">
        <v>21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134"/>
      <c r="O19" s="134"/>
      <c r="P19" s="134"/>
      <c r="Q19" s="176"/>
    </row>
    <row r="20" spans="1:17" ht="18.75">
      <c r="A20" s="147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34"/>
      <c r="O20" s="134"/>
      <c r="P20" s="134"/>
      <c r="Q20" s="176"/>
    </row>
    <row r="21" spans="1:17" ht="19.5" hidden="1">
      <c r="A21" s="177"/>
      <c r="B21" s="151"/>
      <c r="C21" s="152"/>
      <c r="D21" s="153"/>
      <c r="E21" s="144"/>
      <c r="F21" s="164"/>
      <c r="G21" s="155"/>
      <c r="H21" s="156"/>
      <c r="I21" s="157"/>
      <c r="J21" s="178"/>
      <c r="K21" s="167"/>
      <c r="L21" s="157"/>
      <c r="M21" s="157"/>
      <c r="N21" s="167"/>
      <c r="O21" s="167"/>
      <c r="P21" s="163"/>
      <c r="Q21" s="167"/>
    </row>
    <row r="22" spans="1:17" ht="19.5" hidden="1">
      <c r="A22" s="179"/>
      <c r="B22" s="151"/>
      <c r="C22" s="152"/>
      <c r="D22" s="153"/>
      <c r="E22" s="144"/>
      <c r="F22" s="164"/>
      <c r="G22" s="155"/>
      <c r="H22" s="156"/>
      <c r="I22" s="157"/>
      <c r="J22" s="178"/>
      <c r="K22" s="157"/>
      <c r="L22" s="157"/>
      <c r="M22" s="157"/>
      <c r="N22" s="167"/>
      <c r="O22" s="167"/>
      <c r="P22" s="163"/>
      <c r="Q22" s="167"/>
    </row>
    <row r="23" spans="1:17" ht="19.5" hidden="1">
      <c r="A23" s="150"/>
      <c r="B23" s="151"/>
      <c r="C23" s="152"/>
      <c r="D23" s="153"/>
      <c r="E23" s="144"/>
      <c r="F23" s="164"/>
      <c r="G23" s="155"/>
      <c r="H23" s="156"/>
      <c r="I23" s="157"/>
      <c r="J23" s="178"/>
      <c r="K23" s="157"/>
      <c r="L23" s="167"/>
      <c r="M23" s="157"/>
      <c r="N23" s="167"/>
      <c r="O23" s="167"/>
      <c r="P23" s="163"/>
      <c r="Q23" s="167"/>
    </row>
    <row r="24" spans="1:17" ht="19.5">
      <c r="A24" s="180" t="s">
        <v>15</v>
      </c>
      <c r="B24" s="160"/>
      <c r="C24" s="152"/>
      <c r="D24" s="153"/>
      <c r="E24" s="144">
        <f>E21+E22+E23</f>
        <v>0</v>
      </c>
      <c r="F24" s="154"/>
      <c r="G24" s="155"/>
      <c r="H24" s="157">
        <f>H21+H22+H23</f>
        <v>0</v>
      </c>
      <c r="I24" s="157">
        <f t="shared" ref="I24:N24" si="1">I21+I22+I23</f>
        <v>0</v>
      </c>
      <c r="J24" s="157">
        <f t="shared" si="1"/>
        <v>0</v>
      </c>
      <c r="K24" s="157">
        <f t="shared" si="1"/>
        <v>0</v>
      </c>
      <c r="L24" s="157"/>
      <c r="M24" s="157">
        <f t="shared" si="1"/>
        <v>0</v>
      </c>
      <c r="N24" s="167">
        <f t="shared" si="1"/>
        <v>0</v>
      </c>
      <c r="O24" s="167">
        <f>O21+O22+O23</f>
        <v>0</v>
      </c>
      <c r="P24" s="157">
        <f>P21+P22+P23</f>
        <v>0</v>
      </c>
      <c r="Q24" s="157">
        <f>Q21+Q22+Q23</f>
        <v>0</v>
      </c>
    </row>
    <row r="25" spans="1:17" ht="18.75">
      <c r="A25" s="248"/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134"/>
      <c r="O25" s="134"/>
      <c r="P25" s="134"/>
      <c r="Q25" s="176"/>
    </row>
    <row r="26" spans="1:17" ht="19.5">
      <c r="A26" s="150"/>
      <c r="B26" s="151"/>
      <c r="C26" s="152"/>
      <c r="D26" s="153"/>
      <c r="E26" s="144"/>
      <c r="F26" s="154"/>
      <c r="G26" s="155"/>
      <c r="H26" s="156"/>
      <c r="I26" s="157"/>
      <c r="J26" s="158"/>
      <c r="K26" s="157"/>
      <c r="L26" s="157"/>
      <c r="M26" s="157"/>
      <c r="N26" s="157"/>
      <c r="O26" s="157"/>
      <c r="P26" s="157"/>
      <c r="Q26" s="157"/>
    </row>
    <row r="27" spans="1:17" ht="19.5">
      <c r="A27" s="159" t="s">
        <v>15</v>
      </c>
      <c r="B27" s="160"/>
      <c r="C27" s="152">
        <v>0</v>
      </c>
      <c r="D27" s="153"/>
      <c r="E27" s="144"/>
      <c r="F27" s="154"/>
      <c r="G27" s="155"/>
      <c r="H27" s="156"/>
      <c r="I27" s="157"/>
      <c r="J27" s="158"/>
      <c r="K27" s="157"/>
      <c r="L27" s="157"/>
      <c r="M27" s="157"/>
      <c r="N27" s="157"/>
      <c r="O27" s="157"/>
      <c r="P27" s="157"/>
      <c r="Q27" s="157"/>
    </row>
    <row r="28" spans="1:17" ht="18.75">
      <c r="A28" s="251" t="s">
        <v>17</v>
      </c>
      <c r="B28" s="252"/>
      <c r="C28" s="253"/>
      <c r="D28" s="253"/>
      <c r="E28" s="253"/>
      <c r="F28" s="254"/>
      <c r="G28" s="181"/>
      <c r="H28" s="182">
        <f>H18+H24</f>
        <v>110000</v>
      </c>
      <c r="I28" s="182">
        <f>I18+I24</f>
        <v>0</v>
      </c>
      <c r="J28" s="183">
        <f>J18+J24</f>
        <v>124000</v>
      </c>
      <c r="K28" s="183">
        <f>K18+K24</f>
        <v>976000</v>
      </c>
      <c r="L28" s="58"/>
      <c r="M28" s="182">
        <f>M18</f>
        <v>870.21</v>
      </c>
      <c r="N28" s="183">
        <f>N18+N24</f>
        <v>23950.79</v>
      </c>
      <c r="O28" s="183">
        <f>O18+O24</f>
        <v>21644.61</v>
      </c>
      <c r="P28" s="183">
        <f>P18+P24</f>
        <v>3176.3900000000003</v>
      </c>
      <c r="Q28" s="183">
        <f>K28+P28</f>
        <v>979176.39</v>
      </c>
    </row>
    <row r="29" spans="1:17" ht="18.75">
      <c r="A29" s="184"/>
      <c r="B29" s="185"/>
      <c r="C29" s="186"/>
      <c r="D29" s="186"/>
      <c r="E29" s="187"/>
      <c r="F29" s="188"/>
      <c r="G29" s="188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 ht="18.75">
      <c r="A30" s="134"/>
      <c r="B30" s="139"/>
      <c r="C30" s="137"/>
      <c r="D30" s="137"/>
      <c r="E30" s="140"/>
      <c r="F30" s="141"/>
      <c r="G30" s="141"/>
      <c r="H30" s="134"/>
      <c r="I30" s="134"/>
      <c r="J30" s="134"/>
      <c r="K30" s="134"/>
      <c r="L30" s="134"/>
      <c r="M30" s="134"/>
      <c r="N30" s="189"/>
      <c r="O30" s="134"/>
      <c r="P30" s="134"/>
      <c r="Q30" s="134"/>
    </row>
    <row r="31" spans="1:17" ht="18.75">
      <c r="A31" s="134"/>
      <c r="B31" s="244" t="s">
        <v>63</v>
      </c>
      <c r="C31" s="255"/>
      <c r="D31" s="255"/>
      <c r="E31" s="256"/>
      <c r="F31" s="257"/>
      <c r="G31" s="257"/>
      <c r="H31" s="258"/>
      <c r="I31" s="245"/>
      <c r="J31" s="245"/>
      <c r="K31" s="245"/>
      <c r="L31" s="134"/>
      <c r="M31" s="134"/>
      <c r="N31" s="134"/>
      <c r="O31" s="134"/>
      <c r="P31" s="134"/>
      <c r="Q31" s="134"/>
    </row>
    <row r="32" spans="1:17" ht="18.75">
      <c r="A32" s="134"/>
      <c r="B32" s="139"/>
      <c r="C32" s="137"/>
      <c r="D32" s="137"/>
      <c r="E32" s="140"/>
      <c r="F32" s="141"/>
      <c r="G32" s="141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8.75">
      <c r="A33" s="134"/>
      <c r="B33" s="139"/>
      <c r="C33" s="137"/>
      <c r="D33" s="137"/>
      <c r="E33" s="140"/>
      <c r="F33" s="141"/>
      <c r="G33" s="141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1:17" ht="18.75">
      <c r="A34" s="134"/>
      <c r="B34" s="244" t="s">
        <v>81</v>
      </c>
      <c r="C34" s="245"/>
      <c r="D34" s="245"/>
      <c r="E34" s="245"/>
      <c r="F34" s="245"/>
      <c r="G34" s="245"/>
      <c r="H34" s="245"/>
      <c r="I34" s="245"/>
      <c r="J34" s="245"/>
      <c r="K34" s="245"/>
      <c r="L34" s="134"/>
      <c r="M34" s="134"/>
      <c r="N34" s="134"/>
      <c r="O34" s="134"/>
      <c r="P34" s="134"/>
      <c r="Q34" s="134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 t="s">
        <v>71</v>
      </c>
      <c r="K35" s="1"/>
      <c r="L35" s="1"/>
      <c r="M35" s="1"/>
      <c r="N35" s="1"/>
      <c r="O35" s="1"/>
      <c r="P35" s="1"/>
      <c r="Q35" s="1"/>
    </row>
    <row r="36" spans="1:17">
      <c r="B36" t="s">
        <v>70</v>
      </c>
    </row>
  </sheetData>
  <mergeCells count="11">
    <mergeCell ref="A1:Q1"/>
    <mergeCell ref="D2:K2"/>
    <mergeCell ref="N3:O3"/>
    <mergeCell ref="F5:J5"/>
    <mergeCell ref="A10:M10"/>
    <mergeCell ref="B34:K34"/>
    <mergeCell ref="A13:M13"/>
    <mergeCell ref="A19:M19"/>
    <mergeCell ref="A25:M25"/>
    <mergeCell ref="A28:F28"/>
    <mergeCell ref="B31:K31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zoomScale="60" workbookViewId="0">
      <selection activeCell="N18" sqref="N18"/>
    </sheetView>
  </sheetViews>
  <sheetFormatPr defaultRowHeight="12.75"/>
  <cols>
    <col min="2" max="2" width="13.7109375" customWidth="1"/>
    <col min="3" max="4" width="11.5703125" customWidth="1"/>
    <col min="5" max="5" width="15.140625" customWidth="1"/>
    <col min="6" max="6" width="15.7109375" customWidth="1"/>
    <col min="8" max="8" width="18.5703125" customWidth="1"/>
    <col min="9" max="9" width="19.42578125" customWidth="1"/>
    <col min="10" max="10" width="16.42578125" customWidth="1"/>
    <col min="11" max="11" width="15.85546875" customWidth="1"/>
    <col min="13" max="13" width="14.140625" customWidth="1"/>
    <col min="14" max="14" width="14.42578125" customWidth="1"/>
    <col min="15" max="15" width="14.140625" customWidth="1"/>
    <col min="16" max="16" width="14.42578125" customWidth="1"/>
    <col min="17" max="17" width="17.42578125" customWidth="1"/>
  </cols>
  <sheetData>
    <row r="1" spans="1:17" ht="18">
      <c r="A1" s="218" t="s">
        <v>51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59"/>
      <c r="P1" s="259"/>
      <c r="Q1" s="259"/>
    </row>
    <row r="2" spans="1:17" ht="18.75">
      <c r="A2" s="134"/>
      <c r="B2" s="135"/>
      <c r="C2" s="135"/>
      <c r="D2" s="260" t="s">
        <v>83</v>
      </c>
      <c r="E2" s="261"/>
      <c r="F2" s="261"/>
      <c r="G2" s="261"/>
      <c r="H2" s="261"/>
      <c r="I2" s="261"/>
      <c r="J2" s="261"/>
      <c r="K2" s="261"/>
      <c r="L2" s="134"/>
      <c r="M2" s="134"/>
      <c r="N2" s="134"/>
      <c r="O2" s="134"/>
      <c r="P2" s="134"/>
      <c r="Q2" s="134"/>
    </row>
    <row r="3" spans="1:17" ht="18.75">
      <c r="A3" s="134"/>
      <c r="B3" s="136"/>
      <c r="C3" s="137"/>
      <c r="D3" s="137"/>
      <c r="E3" s="137"/>
      <c r="F3" s="73"/>
      <c r="G3" s="138"/>
      <c r="H3" s="138"/>
      <c r="I3" s="138"/>
      <c r="J3" s="138"/>
      <c r="K3" s="138"/>
      <c r="L3" s="138"/>
      <c r="M3" s="138"/>
      <c r="N3" s="262" t="s">
        <v>22</v>
      </c>
      <c r="O3" s="262"/>
      <c r="P3" s="138"/>
      <c r="Q3" s="138"/>
    </row>
    <row r="4" spans="1:17" ht="18.75">
      <c r="A4" s="134"/>
      <c r="B4" s="139"/>
      <c r="C4" s="137"/>
      <c r="D4" s="137"/>
      <c r="E4" s="140"/>
      <c r="F4" s="141"/>
      <c r="G4" s="141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7" ht="18.75">
      <c r="A5" s="134"/>
      <c r="B5" s="139"/>
      <c r="C5" s="137"/>
      <c r="D5" s="137"/>
      <c r="E5" s="140"/>
      <c r="F5" s="263"/>
      <c r="G5" s="263"/>
      <c r="H5" s="263"/>
      <c r="I5" s="263"/>
      <c r="J5" s="263"/>
      <c r="K5" s="142"/>
      <c r="L5" s="134"/>
      <c r="M5" s="134"/>
      <c r="N5" s="134"/>
      <c r="O5" s="134"/>
      <c r="P5" s="134"/>
      <c r="Q5" s="134"/>
    </row>
    <row r="6" spans="1:17" ht="18.75">
      <c r="A6" s="134"/>
      <c r="B6" s="139"/>
      <c r="C6" s="137"/>
      <c r="D6" s="137"/>
      <c r="E6" s="140"/>
      <c r="F6" s="141"/>
      <c r="G6" s="141"/>
      <c r="H6" s="134"/>
      <c r="I6" s="134"/>
      <c r="J6" s="134"/>
      <c r="K6" s="134"/>
      <c r="L6" s="134"/>
      <c r="M6" s="134"/>
      <c r="N6" s="134"/>
      <c r="O6" s="134"/>
      <c r="P6" s="134"/>
      <c r="Q6" s="134"/>
    </row>
    <row r="7" spans="1:17" ht="18.75">
      <c r="A7" s="134"/>
      <c r="B7" s="139"/>
      <c r="C7" s="137"/>
      <c r="D7" s="137"/>
      <c r="E7" s="140"/>
      <c r="F7" s="141"/>
      <c r="G7" s="141"/>
      <c r="H7" s="134"/>
      <c r="I7" s="134"/>
      <c r="J7" s="134"/>
      <c r="K7" s="134"/>
      <c r="L7" s="134"/>
      <c r="M7" s="134"/>
      <c r="N7" s="134"/>
      <c r="O7" s="134"/>
      <c r="P7" s="134"/>
      <c r="Q7" s="134"/>
    </row>
    <row r="8" spans="1:17" ht="187.5">
      <c r="A8" s="143" t="s">
        <v>4</v>
      </c>
      <c r="B8" s="144" t="s">
        <v>5</v>
      </c>
      <c r="C8" s="144" t="s">
        <v>6</v>
      </c>
      <c r="D8" s="145" t="s">
        <v>0</v>
      </c>
      <c r="E8" s="144" t="s">
        <v>1</v>
      </c>
      <c r="F8" s="145" t="s">
        <v>2</v>
      </c>
      <c r="G8" s="144" t="s">
        <v>7</v>
      </c>
      <c r="H8" s="145" t="s">
        <v>10</v>
      </c>
      <c r="I8" s="144" t="s">
        <v>8</v>
      </c>
      <c r="J8" s="146" t="s">
        <v>9</v>
      </c>
      <c r="K8" s="144" t="s">
        <v>18</v>
      </c>
      <c r="L8" s="144" t="s">
        <v>3</v>
      </c>
      <c r="M8" s="144" t="s">
        <v>11</v>
      </c>
      <c r="N8" s="144" t="s">
        <v>13</v>
      </c>
      <c r="O8" s="144" t="s">
        <v>14</v>
      </c>
      <c r="P8" s="144" t="s">
        <v>12</v>
      </c>
      <c r="Q8" s="144" t="s">
        <v>16</v>
      </c>
    </row>
    <row r="9" spans="1:17" ht="18.75">
      <c r="A9" s="144">
        <v>1</v>
      </c>
      <c r="B9" s="145">
        <v>2</v>
      </c>
      <c r="C9" s="144">
        <v>3</v>
      </c>
      <c r="D9" s="145">
        <v>4</v>
      </c>
      <c r="E9" s="144">
        <v>5</v>
      </c>
      <c r="F9" s="145">
        <v>6</v>
      </c>
      <c r="G9" s="144">
        <v>7</v>
      </c>
      <c r="H9" s="145">
        <v>8</v>
      </c>
      <c r="I9" s="144">
        <v>9</v>
      </c>
      <c r="J9" s="145">
        <v>10</v>
      </c>
      <c r="K9" s="145">
        <v>11</v>
      </c>
      <c r="L9" s="144">
        <v>12</v>
      </c>
      <c r="M9" s="145">
        <v>13</v>
      </c>
      <c r="N9" s="144">
        <v>14</v>
      </c>
      <c r="O9" s="145">
        <v>15</v>
      </c>
      <c r="P9" s="144">
        <v>16</v>
      </c>
      <c r="Q9" s="146">
        <v>17</v>
      </c>
    </row>
    <row r="10" spans="1:17" ht="18.75">
      <c r="A10" s="248" t="s">
        <v>19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148"/>
      <c r="O10" s="148"/>
      <c r="P10" s="148"/>
      <c r="Q10" s="149"/>
    </row>
    <row r="11" spans="1:17" ht="19.5">
      <c r="A11" s="150"/>
      <c r="B11" s="151"/>
      <c r="C11" s="152"/>
      <c r="D11" s="153"/>
      <c r="E11" s="144"/>
      <c r="F11" s="154"/>
      <c r="G11" s="155"/>
      <c r="H11" s="156"/>
      <c r="I11" s="157"/>
      <c r="J11" s="158"/>
      <c r="K11" s="157"/>
      <c r="L11" s="157"/>
      <c r="M11" s="157"/>
      <c r="N11" s="157"/>
      <c r="O11" s="157"/>
      <c r="P11" s="157"/>
      <c r="Q11" s="157"/>
    </row>
    <row r="12" spans="1:17" ht="19.5">
      <c r="A12" s="159" t="s">
        <v>15</v>
      </c>
      <c r="B12" s="160"/>
      <c r="C12" s="152"/>
      <c r="D12" s="153"/>
      <c r="E12" s="144"/>
      <c r="F12" s="154"/>
      <c r="G12" s="155"/>
      <c r="H12" s="156"/>
      <c r="I12" s="157"/>
      <c r="J12" s="158"/>
      <c r="K12" s="157"/>
      <c r="L12" s="157"/>
      <c r="M12" s="157"/>
      <c r="N12" s="157"/>
      <c r="O12" s="157"/>
      <c r="P12" s="157"/>
      <c r="Q12" s="157"/>
    </row>
    <row r="13" spans="1:17" ht="18.75">
      <c r="A13" s="246" t="s">
        <v>20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161"/>
      <c r="O13" s="161"/>
      <c r="P13" s="161"/>
      <c r="Q13" s="162"/>
    </row>
    <row r="14" spans="1:17" ht="19.5">
      <c r="A14" s="150"/>
      <c r="B14" s="151"/>
      <c r="C14" s="152"/>
      <c r="D14" s="153"/>
      <c r="E14" s="163"/>
      <c r="F14" s="164"/>
      <c r="G14" s="165"/>
      <c r="H14" s="157"/>
      <c r="I14" s="157"/>
      <c r="J14" s="157"/>
      <c r="K14" s="157"/>
      <c r="L14" s="166"/>
      <c r="M14" s="167"/>
      <c r="N14" s="167"/>
      <c r="O14" s="167"/>
      <c r="P14" s="163"/>
      <c r="Q14" s="167"/>
    </row>
    <row r="15" spans="1:17" ht="156">
      <c r="A15" s="150">
        <v>1</v>
      </c>
      <c r="B15" s="151" t="s">
        <v>24</v>
      </c>
      <c r="C15" s="152" t="s">
        <v>52</v>
      </c>
      <c r="D15" s="153" t="s">
        <v>32</v>
      </c>
      <c r="E15" s="144">
        <v>418000</v>
      </c>
      <c r="F15" s="164">
        <v>41657</v>
      </c>
      <c r="G15" s="168" t="s">
        <v>50</v>
      </c>
      <c r="H15" s="169">
        <v>85000</v>
      </c>
      <c r="I15" s="170"/>
      <c r="J15" s="171">
        <f>54000+31000</f>
        <v>85000</v>
      </c>
      <c r="K15" s="157">
        <f>H15-J15+I15</f>
        <v>0</v>
      </c>
      <c r="L15" s="167">
        <v>2.75</v>
      </c>
      <c r="M15" s="167">
        <v>1199.07</v>
      </c>
      <c r="N15" s="167">
        <f>428.71+179.32+350.13</f>
        <v>958.16</v>
      </c>
      <c r="O15" s="167">
        <f>428.71+1378.39+350.13</f>
        <v>2157.23</v>
      </c>
      <c r="P15" s="167">
        <f>N15-O15+M15</f>
        <v>0</v>
      </c>
      <c r="Q15" s="167">
        <f>K15+P15</f>
        <v>0</v>
      </c>
    </row>
    <row r="16" spans="1:17" ht="156">
      <c r="A16" s="150">
        <v>2</v>
      </c>
      <c r="B16" s="151" t="s">
        <v>24</v>
      </c>
      <c r="C16" s="152" t="s">
        <v>58</v>
      </c>
      <c r="D16" s="153" t="s">
        <v>32</v>
      </c>
      <c r="E16" s="163">
        <v>780000</v>
      </c>
      <c r="F16" s="164">
        <v>42389</v>
      </c>
      <c r="G16" s="168" t="s">
        <v>50</v>
      </c>
      <c r="H16" s="157">
        <v>780000</v>
      </c>
      <c r="I16" s="157"/>
      <c r="J16" s="157">
        <f>33000+33000+33000+33000+33000+33000</f>
        <v>198000</v>
      </c>
      <c r="K16" s="157">
        <f>H16-J16+I16</f>
        <v>582000</v>
      </c>
      <c r="L16" s="167">
        <v>2.75</v>
      </c>
      <c r="M16" s="167">
        <v>7845.41</v>
      </c>
      <c r="N16" s="167">
        <f>1821.78+1645.48+1682.55+1561.62+1543.32+1409.96+1363.32+44.55</f>
        <v>11072.579999999998</v>
      </c>
      <c r="O16" s="167">
        <f>1821.78+9490.89+1682.55+1561.62+1543.32+1409.96</f>
        <v>17510.12</v>
      </c>
      <c r="P16" s="167">
        <f>N16-O16+M16</f>
        <v>1407.869999999999</v>
      </c>
      <c r="Q16" s="167">
        <f t="shared" ref="Q16:Q17" si="0">K16+P16</f>
        <v>583407.87</v>
      </c>
    </row>
    <row r="17" spans="1:17" ht="156">
      <c r="A17" s="150">
        <v>3</v>
      </c>
      <c r="B17" s="151" t="s">
        <v>24</v>
      </c>
      <c r="C17" s="152" t="s">
        <v>69</v>
      </c>
      <c r="D17" s="153" t="s">
        <v>32</v>
      </c>
      <c r="E17" s="163"/>
      <c r="F17" s="164">
        <v>42819</v>
      </c>
      <c r="G17" s="168" t="s">
        <v>50</v>
      </c>
      <c r="H17" s="157">
        <v>500000</v>
      </c>
      <c r="I17" s="157"/>
      <c r="J17" s="157">
        <f>14000+14000+14000+14000</f>
        <v>56000</v>
      </c>
      <c r="K17" s="157">
        <f>H17-J17+I17</f>
        <v>444000</v>
      </c>
      <c r="L17" s="167">
        <v>2.75</v>
      </c>
      <c r="M17" s="167">
        <v>1751.71</v>
      </c>
      <c r="N17" s="167">
        <f>1167.81+1054.79+1167.81+1900.66+1982.71+1694.45+1059.16+84.15</f>
        <v>10111.539999999999</v>
      </c>
      <c r="O17" s="167">
        <f>1167.81+2806.5+1167.81+1900.66+1982.71+1694.45</f>
        <v>10719.94</v>
      </c>
      <c r="P17" s="167">
        <f>N17-O17+M17</f>
        <v>1143.3099999999986</v>
      </c>
      <c r="Q17" s="167">
        <f t="shared" si="0"/>
        <v>445143.31</v>
      </c>
    </row>
    <row r="18" spans="1:17" ht="19.5">
      <c r="A18" s="174"/>
      <c r="B18" s="172"/>
      <c r="C18" s="152"/>
      <c r="D18" s="153"/>
      <c r="E18" s="163"/>
      <c r="F18" s="164"/>
      <c r="G18" s="173"/>
      <c r="H18" s="157"/>
      <c r="I18" s="157"/>
      <c r="J18" s="157"/>
      <c r="K18" s="157">
        <f>I18-J18</f>
        <v>0</v>
      </c>
      <c r="L18" s="166"/>
      <c r="M18" s="167"/>
      <c r="N18" s="167"/>
      <c r="O18" s="167"/>
      <c r="P18" s="167"/>
      <c r="Q18" s="167"/>
    </row>
    <row r="19" spans="1:17" ht="18.75">
      <c r="A19" s="159" t="s">
        <v>15</v>
      </c>
      <c r="B19" s="160"/>
      <c r="C19" s="152"/>
      <c r="D19" s="153"/>
      <c r="E19" s="163">
        <f>E14+E15+E16+E17+E18</f>
        <v>1198000</v>
      </c>
      <c r="F19" s="163"/>
      <c r="G19" s="163"/>
      <c r="H19" s="163">
        <f>H15+H16+H17</f>
        <v>1365000</v>
      </c>
      <c r="I19" s="163">
        <f>I14+I15+I16+I17+I18</f>
        <v>0</v>
      </c>
      <c r="J19" s="163">
        <f>J14+J15+J16+J17+J18</f>
        <v>339000</v>
      </c>
      <c r="K19" s="163">
        <f>K14+K15+K16+K17+K18</f>
        <v>1026000</v>
      </c>
      <c r="L19" s="163"/>
      <c r="M19" s="163">
        <f>M14+M15+M16+M17+M18</f>
        <v>10796.189999999999</v>
      </c>
      <c r="N19" s="163">
        <f>N14+N15+N16+N17+N18</f>
        <v>22142.28</v>
      </c>
      <c r="O19" s="163">
        <f>O14+O15+O16+O17+O18</f>
        <v>30387.29</v>
      </c>
      <c r="P19" s="163">
        <f>P14+P15+P16+P17</f>
        <v>2551.1799999999976</v>
      </c>
      <c r="Q19" s="167">
        <f>Q15+Q16+Q17</f>
        <v>1028551.1799999999</v>
      </c>
    </row>
    <row r="20" spans="1:17" ht="18.75">
      <c r="A20" s="248" t="s">
        <v>21</v>
      </c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134"/>
      <c r="O20" s="134"/>
      <c r="P20" s="134"/>
      <c r="Q20" s="176"/>
    </row>
    <row r="21" spans="1:17" ht="18.75">
      <c r="A21" s="147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34"/>
      <c r="O21" s="134"/>
      <c r="P21" s="134"/>
      <c r="Q21" s="176"/>
    </row>
    <row r="22" spans="1:17" ht="20.25" thickBot="1">
      <c r="A22" s="177"/>
      <c r="B22" s="151"/>
      <c r="C22" s="152"/>
      <c r="D22" s="153"/>
      <c r="E22" s="144"/>
      <c r="F22" s="164"/>
      <c r="G22" s="155"/>
      <c r="H22" s="156"/>
      <c r="I22" s="157"/>
      <c r="J22" s="178"/>
      <c r="K22" s="167"/>
      <c r="L22" s="157"/>
      <c r="M22" s="157"/>
      <c r="N22" s="167"/>
      <c r="O22" s="167"/>
      <c r="P22" s="163"/>
      <c r="Q22" s="167"/>
    </row>
    <row r="23" spans="1:17" ht="19.5">
      <c r="A23" s="179"/>
      <c r="B23" s="151"/>
      <c r="C23" s="152"/>
      <c r="D23" s="153"/>
      <c r="E23" s="144"/>
      <c r="F23" s="164"/>
      <c r="G23" s="155"/>
      <c r="H23" s="156"/>
      <c r="I23" s="157"/>
      <c r="J23" s="178"/>
      <c r="K23" s="157"/>
      <c r="L23" s="157"/>
      <c r="M23" s="157"/>
      <c r="N23" s="167"/>
      <c r="O23" s="167"/>
      <c r="P23" s="163"/>
      <c r="Q23" s="167"/>
    </row>
    <row r="24" spans="1:17" ht="19.5">
      <c r="A24" s="150"/>
      <c r="B24" s="151"/>
      <c r="C24" s="152"/>
      <c r="D24" s="153"/>
      <c r="E24" s="144"/>
      <c r="F24" s="164"/>
      <c r="G24" s="155"/>
      <c r="H24" s="156"/>
      <c r="I24" s="157"/>
      <c r="J24" s="178"/>
      <c r="K24" s="157"/>
      <c r="L24" s="167"/>
      <c r="M24" s="157"/>
      <c r="N24" s="167"/>
      <c r="O24" s="167"/>
      <c r="P24" s="163"/>
      <c r="Q24" s="167"/>
    </row>
    <row r="25" spans="1:17" ht="19.5">
      <c r="A25" s="180" t="s">
        <v>15</v>
      </c>
      <c r="B25" s="160"/>
      <c r="C25" s="152"/>
      <c r="D25" s="153"/>
      <c r="E25" s="144">
        <f>E22+E23+E24</f>
        <v>0</v>
      </c>
      <c r="F25" s="154"/>
      <c r="G25" s="155"/>
      <c r="H25" s="157">
        <f>H22+H23+H24</f>
        <v>0</v>
      </c>
      <c r="I25" s="157">
        <f t="shared" ref="I25:N25" si="1">I22+I23+I24</f>
        <v>0</v>
      </c>
      <c r="J25" s="157">
        <f t="shared" si="1"/>
        <v>0</v>
      </c>
      <c r="K25" s="157">
        <f t="shared" si="1"/>
        <v>0</v>
      </c>
      <c r="L25" s="157"/>
      <c r="M25" s="157">
        <f t="shared" si="1"/>
        <v>0</v>
      </c>
      <c r="N25" s="167">
        <f t="shared" si="1"/>
        <v>0</v>
      </c>
      <c r="O25" s="167">
        <f>O22+O23+O24</f>
        <v>0</v>
      </c>
      <c r="P25" s="157">
        <f>P22+P23+P24</f>
        <v>0</v>
      </c>
      <c r="Q25" s="157">
        <f>Q22+Q23+Q24</f>
        <v>0</v>
      </c>
    </row>
    <row r="26" spans="1:17" ht="18.75">
      <c r="A26" s="248"/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134"/>
      <c r="O26" s="134"/>
      <c r="P26" s="134"/>
      <c r="Q26" s="176"/>
    </row>
    <row r="27" spans="1:17" ht="19.5">
      <c r="A27" s="150"/>
      <c r="B27" s="151"/>
      <c r="C27" s="152"/>
      <c r="D27" s="153"/>
      <c r="E27" s="144"/>
      <c r="F27" s="154"/>
      <c r="G27" s="155"/>
      <c r="H27" s="156"/>
      <c r="I27" s="157"/>
      <c r="J27" s="158"/>
      <c r="K27" s="157"/>
      <c r="L27" s="157"/>
      <c r="M27" s="157"/>
      <c r="N27" s="157"/>
      <c r="O27" s="157"/>
      <c r="P27" s="157"/>
      <c r="Q27" s="157"/>
    </row>
    <row r="28" spans="1:17" ht="19.5">
      <c r="A28" s="159" t="s">
        <v>15</v>
      </c>
      <c r="B28" s="160"/>
      <c r="C28" s="152">
        <v>0</v>
      </c>
      <c r="D28" s="153"/>
      <c r="E28" s="144"/>
      <c r="F28" s="154"/>
      <c r="G28" s="155"/>
      <c r="H28" s="156"/>
      <c r="I28" s="157"/>
      <c r="J28" s="158"/>
      <c r="K28" s="157"/>
      <c r="L28" s="157"/>
      <c r="M28" s="157"/>
      <c r="N28" s="157"/>
      <c r="O28" s="157"/>
      <c r="P28" s="157"/>
      <c r="Q28" s="157"/>
    </row>
    <row r="29" spans="1:17" ht="18.75">
      <c r="A29" s="251" t="s">
        <v>17</v>
      </c>
      <c r="B29" s="252"/>
      <c r="C29" s="253"/>
      <c r="D29" s="253"/>
      <c r="E29" s="253"/>
      <c r="F29" s="254"/>
      <c r="G29" s="181"/>
      <c r="H29" s="182">
        <f>H19+H25</f>
        <v>1365000</v>
      </c>
      <c r="I29" s="182">
        <f>I19+I25</f>
        <v>0</v>
      </c>
      <c r="J29" s="183">
        <f>J19+J25</f>
        <v>339000</v>
      </c>
      <c r="K29" s="183">
        <f>K19+K25</f>
        <v>1026000</v>
      </c>
      <c r="L29" s="58"/>
      <c r="M29" s="183">
        <f>M19+M25</f>
        <v>10796.189999999999</v>
      </c>
      <c r="N29" s="183">
        <f>N19+N25</f>
        <v>22142.28</v>
      </c>
      <c r="O29" s="183">
        <f>O19+O25</f>
        <v>30387.29</v>
      </c>
      <c r="P29" s="183">
        <f>P19+P25</f>
        <v>2551.1799999999976</v>
      </c>
      <c r="Q29" s="183">
        <f>Q19+Q25</f>
        <v>1028551.1799999999</v>
      </c>
    </row>
    <row r="30" spans="1:17" ht="18.75">
      <c r="A30" s="184"/>
      <c r="B30" s="185"/>
      <c r="C30" s="186"/>
      <c r="D30" s="186"/>
      <c r="E30" s="187"/>
      <c r="F30" s="188"/>
      <c r="G30" s="188"/>
      <c r="H30" s="26"/>
      <c r="I30" s="27"/>
      <c r="J30" s="27"/>
      <c r="K30" s="26"/>
      <c r="L30" s="26"/>
      <c r="M30" s="26"/>
      <c r="N30" s="26"/>
      <c r="O30" s="26"/>
      <c r="P30" s="26"/>
      <c r="Q30" s="26"/>
    </row>
    <row r="31" spans="1:17" ht="18.75">
      <c r="A31" s="134"/>
      <c r="B31" s="139"/>
      <c r="C31" s="137"/>
      <c r="D31" s="137"/>
      <c r="E31" s="140"/>
      <c r="F31" s="141"/>
      <c r="G31" s="141"/>
      <c r="H31" s="134"/>
      <c r="I31" s="134"/>
      <c r="J31" s="134"/>
      <c r="K31" s="134"/>
      <c r="L31" s="134"/>
      <c r="M31" s="134"/>
      <c r="N31" s="189"/>
      <c r="O31" s="134"/>
      <c r="P31" s="134"/>
      <c r="Q31" s="134"/>
    </row>
    <row r="32" spans="1:17" ht="18.75">
      <c r="A32" s="134"/>
      <c r="B32" s="244" t="s">
        <v>72</v>
      </c>
      <c r="C32" s="255"/>
      <c r="D32" s="255"/>
      <c r="E32" s="256"/>
      <c r="F32" s="257"/>
      <c r="G32" s="257"/>
      <c r="H32" s="258"/>
      <c r="I32" s="245"/>
      <c r="J32" s="245"/>
      <c r="K32" s="245"/>
      <c r="L32" s="134"/>
      <c r="M32" s="134"/>
      <c r="N32" s="134"/>
      <c r="O32" s="134"/>
      <c r="P32" s="134"/>
      <c r="Q32" s="134"/>
    </row>
    <row r="33" spans="1:17" ht="18.75">
      <c r="A33" s="134"/>
      <c r="B33" s="139"/>
      <c r="C33" s="137"/>
      <c r="D33" s="137"/>
      <c r="E33" s="140"/>
      <c r="F33" s="141"/>
      <c r="G33" s="141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1:17" ht="18.75">
      <c r="A34" s="134"/>
      <c r="B34" s="139"/>
      <c r="C34" s="137"/>
      <c r="D34" s="137"/>
      <c r="E34" s="140"/>
      <c r="F34" s="141"/>
      <c r="G34" s="141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1:17" ht="18.75">
      <c r="A35" s="134"/>
      <c r="B35" s="244" t="s">
        <v>82</v>
      </c>
      <c r="C35" s="245"/>
      <c r="D35" s="245"/>
      <c r="E35" s="245"/>
      <c r="F35" s="245"/>
      <c r="G35" s="245"/>
      <c r="H35" s="245"/>
      <c r="I35" s="245"/>
      <c r="J35" s="245"/>
      <c r="K35" s="245"/>
      <c r="L35" s="134"/>
      <c r="M35" s="134"/>
      <c r="N35" s="134"/>
      <c r="O35" s="134"/>
      <c r="P35" s="134"/>
      <c r="Q35" s="134"/>
    </row>
    <row r="37" spans="1:17">
      <c r="B37" t="s">
        <v>70</v>
      </c>
      <c r="J37" t="s">
        <v>71</v>
      </c>
    </row>
  </sheetData>
  <mergeCells count="11">
    <mergeCell ref="A1:Q1"/>
    <mergeCell ref="D2:K2"/>
    <mergeCell ref="N3:O3"/>
    <mergeCell ref="F5:J5"/>
    <mergeCell ref="A10:M10"/>
    <mergeCell ref="B35:K35"/>
    <mergeCell ref="A13:M13"/>
    <mergeCell ref="A20:M20"/>
    <mergeCell ref="A26:M26"/>
    <mergeCell ref="A29:F29"/>
    <mergeCell ref="B32:K32"/>
  </mergeCells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Лист3!Область_печати</vt:lpstr>
      <vt:lpstr>Лист4!Область_печати</vt:lpstr>
      <vt:lpstr>Лист5!Область_печати</vt:lpstr>
      <vt:lpstr>Лист6!Область_печати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2014-06-30T06:13:16Z</cp:lastPrinted>
  <dcterms:created xsi:type="dcterms:W3CDTF">2006-06-05T06:40:26Z</dcterms:created>
  <dcterms:modified xsi:type="dcterms:W3CDTF">2014-08-15T12:57:23Z</dcterms:modified>
</cp:coreProperties>
</file>