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P18" i="5"/>
  <c r="P17"/>
  <c r="P16"/>
  <c r="P15"/>
  <c r="P18" i="3"/>
  <c r="P17"/>
  <c r="P16"/>
  <c r="P15"/>
  <c r="P17" i="4"/>
  <c r="P16" i="6"/>
  <c r="L16" i="5"/>
  <c r="L15"/>
  <c r="Q17" i="4"/>
  <c r="L17"/>
  <c r="P32" i="2"/>
  <c r="P31"/>
  <c r="P30"/>
  <c r="P28"/>
  <c r="P25"/>
  <c r="P23"/>
  <c r="P22"/>
  <c r="P20"/>
  <c r="P19"/>
  <c r="Q32"/>
  <c r="Q31"/>
  <c r="Q30"/>
  <c r="Q28"/>
  <c r="Q25"/>
  <c r="Q23"/>
  <c r="Q22"/>
  <c r="Q20"/>
  <c r="Q19"/>
  <c r="Q18" i="3" l="1"/>
  <c r="Q15" i="5"/>
  <c r="Q16"/>
  <c r="Q17"/>
  <c r="Q18"/>
  <c r="Q16" i="6"/>
  <c r="Q16" i="3"/>
  <c r="Q17"/>
  <c r="Q15"/>
  <c r="Q35" i="2" l="1"/>
  <c r="P35"/>
  <c r="M35"/>
  <c r="M33"/>
  <c r="R33"/>
  <c r="R34"/>
  <c r="J35"/>
  <c r="M16" i="5"/>
  <c r="M18"/>
  <c r="G15" i="7"/>
  <c r="H15"/>
  <c r="I15"/>
  <c r="J15"/>
  <c r="N15"/>
  <c r="O15"/>
  <c r="D15"/>
  <c r="H23" i="6"/>
  <c r="I23"/>
  <c r="J23"/>
  <c r="K23"/>
  <c r="L23"/>
  <c r="M23"/>
  <c r="N23"/>
  <c r="O23"/>
  <c r="Q23"/>
  <c r="D23"/>
  <c r="R16"/>
  <c r="R17" s="1"/>
  <c r="R23" s="1"/>
  <c r="R15"/>
  <c r="Q15"/>
  <c r="Q17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L26"/>
  <c r="M26"/>
  <c r="N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18" s="1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M19"/>
  <c r="N19"/>
  <c r="O19"/>
  <c r="Q19"/>
  <c r="M16"/>
  <c r="M17"/>
  <c r="M18"/>
  <c r="M15"/>
  <c r="G15"/>
  <c r="D19"/>
  <c r="P15" i="7" l="1"/>
  <c r="P26" i="3"/>
  <c r="Q15" i="7"/>
  <c r="Q26" i="3"/>
  <c r="R19"/>
  <c r="L24" i="4"/>
  <c r="L15" i="7"/>
  <c r="M17" i="4"/>
  <c r="M18" s="1"/>
  <c r="R15" i="7" l="1"/>
  <c r="R26" i="3"/>
  <c r="M24" i="4"/>
  <c r="M15" i="7"/>
  <c r="R39" i="2"/>
  <c r="Q39"/>
  <c r="Q38"/>
  <c r="R38" s="1"/>
  <c r="Q37"/>
  <c r="P39"/>
  <c r="P38"/>
  <c r="P37"/>
  <c r="R37" s="1"/>
  <c r="R40" s="1"/>
  <c r="H40"/>
  <c r="J40"/>
  <c r="L40"/>
  <c r="L43" s="1"/>
  <c r="M40"/>
  <c r="N40"/>
  <c r="O40"/>
  <c r="J43"/>
  <c r="D40"/>
  <c r="P40" l="1"/>
  <c r="Q40"/>
  <c r="R21"/>
  <c r="R26"/>
  <c r="R27"/>
  <c r="R29"/>
  <c r="Q24"/>
  <c r="Q18"/>
  <c r="R28"/>
  <c r="P24"/>
  <c r="R22"/>
  <c r="P18"/>
  <c r="O35"/>
  <c r="O43" s="1"/>
  <c r="N35"/>
  <c r="N43" s="1"/>
  <c r="M18"/>
  <c r="M19"/>
  <c r="M20"/>
  <c r="M21"/>
  <c r="M22"/>
  <c r="M23"/>
  <c r="M24"/>
  <c r="M25"/>
  <c r="M26"/>
  <c r="M27"/>
  <c r="M28"/>
  <c r="M29"/>
  <c r="M30"/>
  <c r="M31"/>
  <c r="M32"/>
  <c r="M34"/>
  <c r="M17"/>
  <c r="H35"/>
  <c r="H43" s="1"/>
  <c r="D35"/>
  <c r="D43" s="1"/>
  <c r="Q43" l="1"/>
  <c r="R23"/>
  <c r="R20"/>
  <c r="R25"/>
  <c r="R32"/>
  <c r="R19"/>
  <c r="R24"/>
  <c r="R31"/>
  <c r="M43"/>
  <c r="R18"/>
  <c r="R30"/>
  <c r="P43"/>
  <c r="R35" l="1"/>
  <c r="R43" s="1"/>
</calcChain>
</file>

<file path=xl/sharedStrings.xml><?xml version="1.0" encoding="utf-8"?>
<sst xmlns="http://schemas.openxmlformats.org/spreadsheetml/2006/main" count="300" uniqueCount="96">
  <si>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</si>
  <si>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</si>
  <si>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</si>
  <si>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</si>
  <si>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</si>
  <si>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</si>
  <si>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</si>
  <si>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</si>
  <si>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</si>
  <si>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</si>
  <si>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</si>
  <si>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</si>
  <si>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</si>
  <si>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</si>
  <si>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</si>
  <si>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</si>
  <si>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</si>
  <si>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</si>
  <si>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</si>
  <si>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</si>
  <si>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</si>
  <si>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</si>
  <si>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</si>
  <si>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</si>
  <si>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</si>
  <si>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</si>
  <si>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</si>
  <si>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</si>
  <si>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</si>
  <si>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</si>
  <si>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</si>
  <si>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</si>
  <si>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</si>
  <si>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</si>
  <si>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</si>
  <si>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</si>
  <si>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</si>
  <si>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</si>
  <si>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</si>
  <si>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</si>
  <si>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</si>
  <si>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</si>
  <si>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</si>
  <si>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</si>
  <si>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</si>
  <si>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</si>
  <si>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</si>
  <si>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</si>
  <si>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</si>
  <si>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</si>
  <si>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</si>
  <si>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</si>
  <si>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</si>
  <si>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</si>
  <si>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</si>
  <si>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</si>
  <si>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</si>
  <si>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</si>
  <si>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</si>
  <si>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</si>
  <si>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</si>
  <si>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</si>
  <si>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</si>
  <si>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</si>
  <si>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</si>
  <si>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</si>
  <si>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</si>
  <si>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№3 -АПМР от 07.10.2013</t>
  </si>
  <si>
    <t>Договор №9 -АПМР от 25.12.2013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</si>
  <si>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</si>
  <si>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</si>
  <si>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</si>
  <si>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</si>
  <si>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</si>
  <si>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</si>
  <si>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</si>
  <si>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</si>
  <si>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</si>
  <si>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</si>
  <si>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</si>
  <si>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</si>
  <si>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</si>
  <si>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</si>
  <si>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</si>
  <si>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</si>
  <si>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</si>
  <si>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</si>
  <si>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</si>
  <si>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</si>
  <si>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</si>
  <si>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</si>
  <si>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Информация о долговых обяхательствах  Пудожского муниципального района по состоянию на 1 августа 2017года</t>
  </si>
  <si>
    <t>Информация о долговых обязательствах  Шальского сельского поселения на 1 августа 2017года</t>
  </si>
  <si>
    <t>Информация о долговых обязательствах  Кривецкого сельского поселения на 1 августа 2017года</t>
  </si>
  <si>
    <t>Информация о долговых обяхательствах Красноборского сельского поселения на 1 августа 2017года.</t>
  </si>
  <si>
    <t>Информация о долговых обяхательствах Авдеевского сельского поселения на 1 августа  2017года.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</si>
</sst>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opLeftCell="D31" zoomScaleNormal="100" workbookViewId="0">
      <selection activeCell="J39" sqref="J39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3.7109375" style="8" customWidth="1"/>
    <col min="5" max="5" width="13.7109375" style="10" customWidth="1"/>
    <col min="6" max="6" width="15.140625" style="10" customWidth="1"/>
    <col min="7" max="7" width="6.28515625" style="1" customWidth="1"/>
    <col min="8" max="8" width="12.85546875" style="1" customWidth="1"/>
    <col min="9" max="9" width="11.42578125" style="1" customWidth="1"/>
    <col min="10" max="10" width="14.42578125" style="1" customWidth="1"/>
    <col min="11" max="11" width="11.7109375" style="1" customWidth="1"/>
    <col min="12" max="12" width="17.28515625" style="1" customWidth="1"/>
    <col min="13" max="13" width="12.5703125" style="1" customWidth="1"/>
    <col min="14" max="14" width="11" style="1" customWidth="1"/>
    <col min="15" max="15" width="10.5703125" style="1" customWidth="1"/>
    <col min="16" max="16" width="12.28515625" style="1" customWidth="1"/>
    <col min="17" max="17" width="12" style="1" customWidth="1"/>
    <col min="18" max="18" width="11.7109375" style="1" customWidth="1"/>
    <col min="19" max="16384" width="9.140625" style="1"/>
  </cols>
  <sheetData>
    <row r="1" spans="1:18">
      <c r="Q1" s="80" t="s">
        <v>10</v>
      </c>
      <c r="R1" s="80"/>
    </row>
    <row r="2" spans="1:18" ht="26.25" customHeight="1">
      <c r="Q2" s="80"/>
      <c r="R2" s="80"/>
    </row>
    <row r="3" spans="1:18" ht="21.75" customHeight="1">
      <c r="A3" s="81" t="s">
        <v>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82"/>
      <c r="F7" s="82"/>
      <c r="G7" s="82"/>
      <c r="H7" s="82"/>
      <c r="I7" s="82"/>
      <c r="J7" s="82"/>
      <c r="K7" s="82"/>
      <c r="L7" s="82"/>
      <c r="M7" s="9"/>
      <c r="N7" s="9"/>
    </row>
    <row r="8" spans="1:18" ht="5.25" customHeight="1"/>
    <row r="9" spans="1:18" ht="15" customHeight="1"/>
    <row r="10" spans="1:18" ht="36.75" customHeight="1">
      <c r="A10" s="83" t="s">
        <v>1</v>
      </c>
      <c r="B10" s="84" t="s">
        <v>24</v>
      </c>
      <c r="C10" s="84" t="s">
        <v>11</v>
      </c>
      <c r="D10" s="84" t="s">
        <v>25</v>
      </c>
      <c r="E10" s="84" t="s">
        <v>26</v>
      </c>
      <c r="F10" s="84" t="s">
        <v>7</v>
      </c>
      <c r="G10" s="84" t="s">
        <v>0</v>
      </c>
      <c r="H10" s="84" t="s">
        <v>16</v>
      </c>
      <c r="I10" s="84" t="s">
        <v>8</v>
      </c>
      <c r="J10" s="84" t="s">
        <v>12</v>
      </c>
      <c r="K10" s="84" t="s">
        <v>9</v>
      </c>
      <c r="L10" s="84" t="s">
        <v>13</v>
      </c>
      <c r="M10" s="86" t="s">
        <v>23</v>
      </c>
      <c r="N10" s="87"/>
      <c r="O10" s="84" t="s">
        <v>4</v>
      </c>
      <c r="P10" s="84" t="s">
        <v>20</v>
      </c>
      <c r="Q10" s="84" t="s">
        <v>19</v>
      </c>
      <c r="R10" s="84" t="s">
        <v>18</v>
      </c>
    </row>
    <row r="11" spans="1:18" s="13" customFormat="1" ht="94.5" customHeight="1">
      <c r="A11" s="83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40" t="s">
        <v>14</v>
      </c>
      <c r="N11" s="40" t="s">
        <v>17</v>
      </c>
      <c r="O11" s="85"/>
      <c r="P11" s="85"/>
      <c r="Q11" s="85"/>
      <c r="R11" s="85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23.25" customHeight="1">
      <c r="A13" s="92" t="s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88" t="s">
        <v>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1:18" s="3" customFormat="1" ht="60" customHeight="1">
      <c r="A17" s="43">
        <v>1</v>
      </c>
      <c r="B17" s="22" t="s">
        <v>27</v>
      </c>
      <c r="C17" s="23" t="s">
        <v>43</v>
      </c>
      <c r="D17" s="46">
        <v>5000000</v>
      </c>
      <c r="E17" s="47">
        <v>42699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/>
      <c r="M17" s="49">
        <f>H17+J17-L17</f>
        <v>2100000</v>
      </c>
      <c r="N17" s="51">
        <v>0</v>
      </c>
      <c r="O17" s="50">
        <v>0</v>
      </c>
      <c r="P17" s="50">
        <v>0</v>
      </c>
      <c r="Q17" s="50">
        <v>0</v>
      </c>
      <c r="R17" s="51">
        <v>0</v>
      </c>
    </row>
    <row r="18" spans="1:18" s="3" customFormat="1" ht="32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43064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4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27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</f>
        <v>75157.489999999991</v>
      </c>
      <c r="Q19" s="50">
        <f>28230.33+28307.67+3025.81+9382.95+4396.82+4493.04+8729.39+8342.25</f>
        <v>94908.25999999998</v>
      </c>
      <c r="R19" s="51">
        <f t="shared" ref="R19:R34" si="1">O19+P19-Q19</f>
        <v>8479.5600000000122</v>
      </c>
    </row>
    <row r="20" spans="1:18" s="3" customFormat="1" ht="30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</f>
        <v>81198.930000000008</v>
      </c>
      <c r="Q20" s="50">
        <f>15374.24+15416.36+9870.07+11971.16+11342.05+11137.32+10643.39</f>
        <v>85754.590000000011</v>
      </c>
      <c r="R20" s="51">
        <f t="shared" si="1"/>
        <v>10818.580000000002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</f>
        <v>30847.199999999997</v>
      </c>
      <c r="Q22" s="50">
        <f>8469.1+8492.3+2602.48+4229.1+4006.85+3934.52+3760.03</f>
        <v>35494.380000000005</v>
      </c>
      <c r="R22" s="51">
        <f t="shared" si="1"/>
        <v>3821.919999999991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25193.83+25092.64+23773.97+23344.83+22309.49+22676.71</f>
        <v>142391.47</v>
      </c>
      <c r="Q23" s="50">
        <f>25124.99+25193.83+25092.64+23773.97+23344.83+22309.49</f>
        <v>144839.75</v>
      </c>
      <c r="R23" s="51">
        <f t="shared" si="1"/>
        <v>22676.709999999992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8492.3+22755.72-2465.51</f>
        <v>28782.510000000002</v>
      </c>
      <c r="Q24" s="50">
        <f>8469.1+8492.3+22755.72-2465.51</f>
        <v>37251.61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/>
      <c r="M25" s="49">
        <f t="shared" si="0"/>
        <v>5000000</v>
      </c>
      <c r="N25" s="51">
        <v>0</v>
      </c>
      <c r="O25" s="50">
        <v>14115.16</v>
      </c>
      <c r="P25" s="50">
        <f>14153.84+12784.11+14096.99+13356.16+13115.07+12533.43+12739.73</f>
        <v>92779.33</v>
      </c>
      <c r="Q25" s="50">
        <f>14115.16+14153.84+12784.11+14096.99+13356.16+13115.07+12533.43</f>
        <v>94154.75999999998</v>
      </c>
      <c r="R25" s="51">
        <f t="shared" si="1"/>
        <v>12739.730000000025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/>
      <c r="F26" s="48" t="s">
        <v>44</v>
      </c>
      <c r="G26" s="43">
        <v>2.75</v>
      </c>
      <c r="H26" s="28">
        <v>350000</v>
      </c>
      <c r="I26" s="22"/>
      <c r="J26" s="43"/>
      <c r="K26" s="43"/>
      <c r="L26" s="43"/>
      <c r="M26" s="49">
        <f t="shared" si="0"/>
        <v>350000</v>
      </c>
      <c r="N26" s="51">
        <v>0</v>
      </c>
      <c r="O26" s="50">
        <v>0</v>
      </c>
      <c r="P26" s="50">
        <v>0</v>
      </c>
      <c r="Q26" s="50">
        <v>0</v>
      </c>
      <c r="R26" s="51">
        <f t="shared" si="1"/>
        <v>0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/>
      <c r="F27" s="48" t="s">
        <v>44</v>
      </c>
      <c r="G27" s="43">
        <v>2.75</v>
      </c>
      <c r="H27" s="28">
        <v>1554000</v>
      </c>
      <c r="I27" s="22"/>
      <c r="J27" s="43"/>
      <c r="K27" s="43"/>
      <c r="L27" s="43"/>
      <c r="M27" s="49">
        <f t="shared" si="0"/>
        <v>1554000</v>
      </c>
      <c r="N27" s="51">
        <v>0</v>
      </c>
      <c r="O27" s="50">
        <v>0</v>
      </c>
      <c r="P27" s="50">
        <v>0</v>
      </c>
      <c r="Q27" s="50">
        <v>0</v>
      </c>
      <c r="R27" s="51">
        <f t="shared" si="1"/>
        <v>0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</f>
        <v>296080.23</v>
      </c>
      <c r="Q28" s="50">
        <f>48443.24+48575.96+39313.87+44574.67+42232.19+41469.85+39630.68</f>
        <v>304240.45999999996</v>
      </c>
      <c r="R28" s="51">
        <f t="shared" si="1"/>
        <v>40283.010000000009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/>
      <c r="M30" s="49">
        <f t="shared" si="0"/>
        <v>3575000</v>
      </c>
      <c r="N30" s="51">
        <v>0</v>
      </c>
      <c r="O30" s="50">
        <v>10092.34</v>
      </c>
      <c r="P30" s="50">
        <f>10119.99+9140.64+10079.35+9549.66+9377.27+8961.4+9108.9</f>
        <v>66337.210000000006</v>
      </c>
      <c r="Q30" s="50">
        <f>10092.34+10119.99+9140.64+10079.35+9549.66+9377.27+8961.4</f>
        <v>67320.649999999994</v>
      </c>
      <c r="R30" s="51">
        <f t="shared" si="1"/>
        <v>9108.9000000000087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</f>
        <v>195603.29</v>
      </c>
      <c r="Q31" s="50">
        <f>17757.79+42461.51+21459.04+28193.97+26712.33+26230.14+25066.85</f>
        <v>187881.63000000003</v>
      </c>
      <c r="R31" s="51">
        <f t="shared" si="1"/>
        <v>25479.449999999983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</f>
        <v>70143.13</v>
      </c>
      <c r="Q32" s="50">
        <f>2731.97+14153.84+8162.11+10240.05+9701.92+9526.79+9104.28</f>
        <v>63620.959999999999</v>
      </c>
      <c r="R32" s="51">
        <f t="shared" si="1"/>
        <v>9254.1400000000067</v>
      </c>
    </row>
    <row r="33" spans="1:18" s="3" customFormat="1" ht="32.25" customHeight="1">
      <c r="A33" s="77">
        <v>16</v>
      </c>
      <c r="B33" s="22" t="s">
        <v>85</v>
      </c>
      <c r="C33" s="23" t="s">
        <v>43</v>
      </c>
      <c r="D33" s="46" t="s">
        <v>87</v>
      </c>
      <c r="E33" s="47"/>
      <c r="F33" s="48" t="s">
        <v>44</v>
      </c>
      <c r="G33" s="77">
        <v>2.75</v>
      </c>
      <c r="H33" s="28"/>
      <c r="I33" s="22"/>
      <c r="J33" s="51">
        <v>22440000</v>
      </c>
      <c r="K33" s="77"/>
      <c r="L33" s="77"/>
      <c r="M33" s="49">
        <f t="shared" si="0"/>
        <v>22440000</v>
      </c>
      <c r="N33" s="51">
        <v>0</v>
      </c>
      <c r="O33" s="50"/>
      <c r="P33" s="50">
        <v>9775.23</v>
      </c>
      <c r="Q33" s="50">
        <v>9775.23</v>
      </c>
      <c r="R33" s="51">
        <f t="shared" si="1"/>
        <v>0</v>
      </c>
    </row>
    <row r="34" spans="1:18" s="3" customFormat="1" ht="21.75" customHeight="1">
      <c r="A34" s="78">
        <v>17</v>
      </c>
      <c r="B34" s="22" t="s">
        <v>86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28"/>
      <c r="J34" s="50">
        <v>15000000</v>
      </c>
      <c r="K34" s="28"/>
      <c r="L34" s="28"/>
      <c r="M34" s="49">
        <f t="shared" si="0"/>
        <v>15000000</v>
      </c>
      <c r="N34" s="28">
        <v>0</v>
      </c>
      <c r="O34" s="28"/>
      <c r="P34" s="28">
        <v>12328.77</v>
      </c>
      <c r="Q34" s="28">
        <v>12328.77</v>
      </c>
      <c r="R34" s="51">
        <f t="shared" si="1"/>
        <v>0</v>
      </c>
    </row>
    <row r="35" spans="1:18" s="3" customFormat="1" ht="18.75" customHeight="1">
      <c r="A35" s="45" t="s">
        <v>2</v>
      </c>
      <c r="B35" s="22"/>
      <c r="C35" s="23" t="s">
        <v>43</v>
      </c>
      <c r="D35" s="46">
        <f>D17+D18+D19+D20+D22+D23+D24+D25+D26+D27+D28+D29+D30+D31+D32</f>
        <v>88539000</v>
      </c>
      <c r="E35" s="26"/>
      <c r="F35" s="48" t="s">
        <v>44</v>
      </c>
      <c r="G35" s="28"/>
      <c r="H35" s="28">
        <f>H17+H18+H19+H20+H22+H23+H24+H25+H26+H27+H28+H29+H30+H31+H32</f>
        <v>82435000</v>
      </c>
      <c r="I35" s="79">
        <v>42894</v>
      </c>
      <c r="J35" s="50">
        <f>J17+J18+J19+J20+J22+J23+J24+J25+J26+J27+J28+J29+J30+J31+J32+J33+J34</f>
        <v>15000000</v>
      </c>
      <c r="K35" s="28"/>
      <c r="L35" s="28"/>
      <c r="M35" s="28">
        <f>M17+M18+M19+M20+M22+M23+M24+M25+M26+M27+M28+M29+M30+M31+M32+M33+M34</f>
        <v>97435000</v>
      </c>
      <c r="N35" s="28">
        <f>N17+N18+N19+N20+N22+N23+N24+N25+N26+N27+N28+N29+N30+N31+N32</f>
        <v>0</v>
      </c>
      <c r="O35" s="50">
        <f t="shared" ref="O35" si="2">O17+O18+O19+O20+O22+O23+O24+O25+O26+O27+O28+O29+O30+O31+O32</f>
        <v>199284.36000000002</v>
      </c>
      <c r="P35" s="50">
        <f>P17+P18+P19+P20+P22+P23+P24+P25+P26+P27+P28+P29+P30+P31+P32+P33+P34</f>
        <v>1106145.7799999998</v>
      </c>
      <c r="Q35" s="50">
        <f>Q17+Q18+Q19+Q20+Q22+Q23+Q24+Q25+Q26+Q27+Q28+Q29+Q30+Q31+Q32+Q33+Q34</f>
        <v>1162768.1399999999</v>
      </c>
      <c r="R35" s="50">
        <f>R17+R18+R19+R20+R22+R23+R24+R25+R26+R27+R28+R29+R30+R31+R32++R33+R34</f>
        <v>142662.00000000006</v>
      </c>
    </row>
    <row r="36" spans="1:18" s="3" customFormat="1" ht="31.5" customHeight="1">
      <c r="A36" s="88" t="s">
        <v>21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18" s="3" customFormat="1" ht="31.5" customHeight="1">
      <c r="A37" s="42">
        <v>1</v>
      </c>
      <c r="B37" s="22" t="s">
        <v>45</v>
      </c>
      <c r="C37" s="23" t="s">
        <v>48</v>
      </c>
      <c r="D37" s="51">
        <v>11000000</v>
      </c>
      <c r="E37" s="47">
        <v>42944</v>
      </c>
      <c r="F37" s="48" t="s">
        <v>44</v>
      </c>
      <c r="G37" s="43">
        <v>15.8</v>
      </c>
      <c r="H37" s="51">
        <v>10000000</v>
      </c>
      <c r="I37" s="43"/>
      <c r="J37" s="43"/>
      <c r="K37" s="66" t="s">
        <v>53</v>
      </c>
      <c r="L37" s="51">
        <v>10000000</v>
      </c>
      <c r="M37" s="51">
        <v>0</v>
      </c>
      <c r="N37" s="51">
        <v>0</v>
      </c>
      <c r="O37" s="51">
        <v>0</v>
      </c>
      <c r="P37" s="50">
        <f>134191.78+121205.48+12986.3</f>
        <v>268383.56</v>
      </c>
      <c r="Q37" s="50">
        <f>134191.78+121205.48+12986.3</f>
        <v>268383.56</v>
      </c>
      <c r="R37" s="51">
        <f>M37+P37-Q37</f>
        <v>0</v>
      </c>
    </row>
    <row r="38" spans="1:18" s="3" customFormat="1" ht="31.5" customHeight="1" thickBot="1">
      <c r="A38" s="41">
        <v>2</v>
      </c>
      <c r="B38" s="22" t="s">
        <v>46</v>
      </c>
      <c r="C38" s="23" t="s">
        <v>48</v>
      </c>
      <c r="D38" s="51">
        <v>8000000</v>
      </c>
      <c r="E38" s="47">
        <v>43075</v>
      </c>
      <c r="F38" s="48" t="s">
        <v>44</v>
      </c>
      <c r="G38" s="43">
        <v>13.47</v>
      </c>
      <c r="H38" s="51">
        <v>8000000</v>
      </c>
      <c r="I38" s="43"/>
      <c r="J38" s="43"/>
      <c r="K38" s="63" t="s">
        <v>53</v>
      </c>
      <c r="L38" s="51">
        <v>8000000</v>
      </c>
      <c r="M38" s="51">
        <v>0</v>
      </c>
      <c r="N38" s="51">
        <v>0</v>
      </c>
      <c r="O38" s="51">
        <v>0</v>
      </c>
      <c r="P38" s="50">
        <f>91540.54+82681.78+8858.76</f>
        <v>183081.08000000002</v>
      </c>
      <c r="Q38" s="50">
        <f>91540.54+82681.78+8858.76</f>
        <v>183081.08000000002</v>
      </c>
      <c r="R38" s="51">
        <f t="shared" ref="R38:R39" si="3">M38+P38-Q38</f>
        <v>0</v>
      </c>
    </row>
    <row r="39" spans="1:18" s="3" customFormat="1" ht="47.25" customHeight="1" thickBot="1">
      <c r="A39" s="33">
        <v>3</v>
      </c>
      <c r="B39" s="22" t="s">
        <v>47</v>
      </c>
      <c r="C39" s="23" t="s">
        <v>49</v>
      </c>
      <c r="D39" s="46">
        <v>10000000</v>
      </c>
      <c r="E39" s="47">
        <v>43283</v>
      </c>
      <c r="F39" s="48" t="s">
        <v>44</v>
      </c>
      <c r="G39" s="28">
        <v>16.03</v>
      </c>
      <c r="H39" s="58">
        <v>10000000</v>
      </c>
      <c r="I39" s="28"/>
      <c r="J39" s="62"/>
      <c r="K39" s="65" t="s">
        <v>54</v>
      </c>
      <c r="L39" s="59">
        <v>10000000</v>
      </c>
      <c r="M39" s="51">
        <v>0</v>
      </c>
      <c r="N39" s="51">
        <v>0</v>
      </c>
      <c r="O39" s="51">
        <v>0</v>
      </c>
      <c r="P39" s="50">
        <f>136145.21+122969.86+4391.78</f>
        <v>263506.85000000003</v>
      </c>
      <c r="Q39" s="50">
        <f>136145.21+122969.86+4391.78</f>
        <v>263506.85000000003</v>
      </c>
      <c r="R39" s="51">
        <f t="shared" si="3"/>
        <v>0</v>
      </c>
    </row>
    <row r="40" spans="1:18" s="3" customFormat="1" ht="18.75" customHeight="1">
      <c r="A40" s="35" t="s">
        <v>2</v>
      </c>
      <c r="B40" s="22"/>
      <c r="C40" s="23"/>
      <c r="D40" s="46">
        <f>D37+D38+D39</f>
        <v>29000000</v>
      </c>
      <c r="E40" s="46"/>
      <c r="F40" s="46"/>
      <c r="G40" s="46"/>
      <c r="H40" s="46">
        <f t="shared" ref="H40:R40" si="4">H37+H38+H39</f>
        <v>28000000</v>
      </c>
      <c r="I40" s="46"/>
      <c r="J40" s="46">
        <f t="shared" si="4"/>
        <v>0</v>
      </c>
      <c r="K40" s="64"/>
      <c r="L40" s="46">
        <f t="shared" si="4"/>
        <v>28000000</v>
      </c>
      <c r="M40" s="46">
        <f t="shared" si="4"/>
        <v>0</v>
      </c>
      <c r="N40" s="46">
        <f t="shared" si="4"/>
        <v>0</v>
      </c>
      <c r="O40" s="46">
        <f>O37+O38+O39</f>
        <v>0</v>
      </c>
      <c r="P40" s="46">
        <f t="shared" si="4"/>
        <v>714971.49</v>
      </c>
      <c r="Q40" s="46">
        <f t="shared" si="4"/>
        <v>714971.49</v>
      </c>
      <c r="R40" s="46">
        <f t="shared" si="4"/>
        <v>0</v>
      </c>
    </row>
    <row r="41" spans="1:18" s="3" customFormat="1" ht="15" customHeight="1">
      <c r="A41" s="88" t="s">
        <v>22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</row>
    <row r="42" spans="1:18" s="3" customFormat="1" ht="8.25" customHeight="1">
      <c r="A42" s="33"/>
      <c r="B42" s="22"/>
      <c r="C42" s="23"/>
      <c r="D42" s="24"/>
      <c r="E42" s="25"/>
      <c r="F42" s="26"/>
      <c r="G42" s="28"/>
      <c r="H42" s="27"/>
      <c r="I42" s="28"/>
      <c r="J42" s="28"/>
      <c r="K42" s="28"/>
      <c r="L42" s="29"/>
      <c r="M42" s="28"/>
      <c r="N42" s="28"/>
      <c r="O42" s="28"/>
      <c r="P42" s="28"/>
      <c r="Q42" s="28"/>
      <c r="R42" s="34"/>
    </row>
    <row r="43" spans="1:18" s="3" customFormat="1" ht="18.75" customHeight="1">
      <c r="A43" s="35" t="s">
        <v>52</v>
      </c>
      <c r="B43" s="22"/>
      <c r="C43" s="23"/>
      <c r="D43" s="46">
        <f>D35+D40</f>
        <v>117539000</v>
      </c>
      <c r="E43" s="46"/>
      <c r="F43" s="46"/>
      <c r="G43" s="46"/>
      <c r="H43" s="46">
        <f t="shared" ref="H43:R43" si="5">H35+H40</f>
        <v>110435000</v>
      </c>
      <c r="I43" s="46"/>
      <c r="J43" s="46">
        <f t="shared" si="5"/>
        <v>15000000</v>
      </c>
      <c r="K43" s="46"/>
      <c r="L43" s="46">
        <f t="shared" si="5"/>
        <v>28000000</v>
      </c>
      <c r="M43" s="46">
        <f t="shared" si="5"/>
        <v>97435000</v>
      </c>
      <c r="N43" s="46">
        <f t="shared" si="5"/>
        <v>0</v>
      </c>
      <c r="O43" s="46">
        <f t="shared" si="5"/>
        <v>199284.36000000002</v>
      </c>
      <c r="P43" s="46">
        <f t="shared" si="5"/>
        <v>1821117.2699999998</v>
      </c>
      <c r="Q43" s="46">
        <f t="shared" si="5"/>
        <v>1877739.63</v>
      </c>
      <c r="R43" s="46">
        <f t="shared" si="5"/>
        <v>142662.00000000006</v>
      </c>
    </row>
    <row r="44" spans="1:18" s="19" customFormat="1" ht="33" hidden="1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1:18" ht="10.5" customHeight="1">
      <c r="A45" s="14"/>
      <c r="B45" s="15"/>
      <c r="C45" s="15"/>
      <c r="D45" s="16"/>
      <c r="E45" s="18"/>
      <c r="F45" s="18"/>
      <c r="G45" s="20"/>
      <c r="H45" s="20"/>
      <c r="I45" s="21"/>
      <c r="J45" s="21"/>
      <c r="K45" s="21"/>
      <c r="L45" s="21"/>
      <c r="M45" s="20"/>
      <c r="N45" s="20"/>
      <c r="O45" s="20"/>
      <c r="P45" s="20"/>
      <c r="Q45" s="20"/>
      <c r="R45" s="20"/>
    </row>
    <row r="46" spans="1:18">
      <c r="A46" s="36" t="s">
        <v>75</v>
      </c>
      <c r="B46" s="37"/>
      <c r="C46" s="37"/>
      <c r="D46" s="38"/>
      <c r="E46" s="39"/>
      <c r="F46" s="39"/>
      <c r="H46" s="36"/>
      <c r="I46" s="36"/>
    </row>
    <row r="48" spans="1:18">
      <c r="A48" s="36" t="s">
        <v>50</v>
      </c>
      <c r="B48" s="37"/>
      <c r="C48" s="37"/>
      <c r="D48" s="38"/>
      <c r="E48" s="39"/>
      <c r="F48" s="39"/>
      <c r="H48" s="36"/>
      <c r="I48" s="36"/>
    </row>
    <row r="50" spans="1:9">
      <c r="A50" s="36" t="s">
        <v>51</v>
      </c>
      <c r="B50" s="37"/>
      <c r="C50" s="37"/>
      <c r="D50" s="38"/>
      <c r="E50" s="39"/>
      <c r="F50" s="39"/>
      <c r="H50" s="36"/>
      <c r="I50" s="36"/>
    </row>
    <row r="54" spans="1:9">
      <c r="A54" s="36"/>
      <c r="B54" s="37"/>
      <c r="C54" s="37"/>
      <c r="D54" s="38"/>
      <c r="E54" s="39"/>
      <c r="F54" s="39"/>
      <c r="H54" s="36"/>
      <c r="I54" s="36"/>
    </row>
    <row r="65" spans="2:2" ht="16.5" customHeight="1"/>
    <row r="66" spans="2:2" ht="30" customHeight="1">
      <c r="B66" s="17"/>
    </row>
  </sheetData>
  <mergeCells count="25">
    <mergeCell ref="A41:R41"/>
    <mergeCell ref="A44:R44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6:R36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" right="0.16" top="0.26" bottom="0.26" header="0.5" footer="0.5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5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2" width="9.28515625" bestFit="1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0.42578125" bestFit="1" customWidth="1"/>
    <col min="18" max="18" width="11.5703125" bestFit="1" customWidth="1"/>
  </cols>
  <sheetData>
    <row r="1" spans="1:20" ht="18.75">
      <c r="A1" s="81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4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71</v>
      </c>
      <c r="G15" s="50">
        <f>8.25*1/3</f>
        <v>2.75</v>
      </c>
      <c r="H15" s="28">
        <v>500000</v>
      </c>
      <c r="I15" s="43"/>
      <c r="J15" s="43"/>
      <c r="K15" s="43"/>
      <c r="L15" s="43"/>
      <c r="M15" s="51">
        <f>H15+J15-L15</f>
        <v>500000</v>
      </c>
      <c r="N15" s="51">
        <v>500000</v>
      </c>
      <c r="O15" s="50">
        <v>2943.64</v>
      </c>
      <c r="P15" s="50">
        <f>1415.53+1278.54+40.6+17+2027.4+39.81+34+1335.62+50.62+27.63+1309.36+56.74+26.21+1267.12+20.97+1309.36+8.34+40.7</f>
        <v>10305.550000000001</v>
      </c>
      <c r="Q15" s="50">
        <f>8.86+10593.84</f>
        <v>10602.7</v>
      </c>
      <c r="R15" s="51">
        <f>O15+P15-Q15</f>
        <v>2646.49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71</v>
      </c>
      <c r="G16" s="50">
        <v>2.75</v>
      </c>
      <c r="H16" s="28">
        <v>1361500</v>
      </c>
      <c r="I16" s="43"/>
      <c r="J16" s="43"/>
      <c r="K16" s="43"/>
      <c r="L16" s="43"/>
      <c r="M16" s="51">
        <f t="shared" ref="M16:M18" si="0">H16+J16-L16</f>
        <v>1361500</v>
      </c>
      <c r="N16" s="43"/>
      <c r="O16" s="50">
        <v>36809.01</v>
      </c>
      <c r="P16" s="50">
        <f>3854.47+3481.46+36+379.53+3842.04+72+311.92+3636.88+58.5+317.11+3565.39+55.5+325.59+3450.38+55.5+316.54+3565.39+66.6+253.31</f>
        <v>27644.11</v>
      </c>
      <c r="Q16" s="50">
        <f>3565.39+1556.15+292.61</f>
        <v>5414.15</v>
      </c>
      <c r="R16" s="51">
        <f t="shared" ref="R16:R18" si="1">O16+P16-Q16</f>
        <v>59038.97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71</v>
      </c>
      <c r="G17" s="50">
        <v>2.75</v>
      </c>
      <c r="H17" s="28">
        <v>1750000</v>
      </c>
      <c r="I17" s="43"/>
      <c r="J17" s="43"/>
      <c r="K17" s="43"/>
      <c r="L17" s="43"/>
      <c r="M17" s="51">
        <f t="shared" si="0"/>
        <v>1750000</v>
      </c>
      <c r="N17" s="43"/>
      <c r="O17" s="50">
        <v>19578.36</v>
      </c>
      <c r="P17" s="50">
        <f>4954.34+4474.89+10+182.73+4938.36+16.67+169.72+4674.66+97.5+190.91+4582.76+18.5+211.73+4434.93+15.42+212.5+4582.76+18.5+357.12</f>
        <v>34144</v>
      </c>
      <c r="Q17" s="50">
        <f>4954.34+3790+897.76</f>
        <v>9642.1</v>
      </c>
      <c r="R17" s="51">
        <f t="shared" si="1"/>
        <v>44080.26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71</v>
      </c>
      <c r="G18" s="50">
        <v>2.75</v>
      </c>
      <c r="H18" s="28">
        <v>1420000</v>
      </c>
      <c r="I18" s="43"/>
      <c r="J18" s="43"/>
      <c r="K18" s="43"/>
      <c r="L18" s="43"/>
      <c r="M18" s="51">
        <f t="shared" si="0"/>
        <v>1420000</v>
      </c>
      <c r="N18" s="43"/>
      <c r="O18" s="50">
        <v>11174.12</v>
      </c>
      <c r="P18" s="50">
        <f>4020.09+3631.05+141.61+4007.12+132.62+3793.15+150.05+3718.58+166.67+3598.63+164.06+3718.58+196.62</f>
        <v>27438.829999999998</v>
      </c>
      <c r="Q18" s="50">
        <f>21.61+3718.58+590.95</f>
        <v>4331.1400000000003</v>
      </c>
      <c r="R18" s="51">
        <f t="shared" si="1"/>
        <v>34281.81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5031500</v>
      </c>
      <c r="N19" s="46">
        <f t="shared" si="2"/>
        <v>500000</v>
      </c>
      <c r="O19" s="46">
        <f t="shared" si="2"/>
        <v>70505.13</v>
      </c>
      <c r="P19" s="46">
        <f t="shared" si="2"/>
        <v>99532.49</v>
      </c>
      <c r="Q19" s="46">
        <f t="shared" si="2"/>
        <v>29990.09</v>
      </c>
      <c r="R19" s="46">
        <f t="shared" si="2"/>
        <v>140047.53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5" t="s">
        <v>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5" t="s">
        <v>22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5031500</v>
      </c>
      <c r="N26" s="27">
        <f t="shared" si="3"/>
        <v>500000</v>
      </c>
      <c r="O26" s="27">
        <f t="shared" si="3"/>
        <v>70505.13</v>
      </c>
      <c r="P26" s="27">
        <f t="shared" si="3"/>
        <v>99532.49</v>
      </c>
      <c r="Q26" s="27">
        <f t="shared" si="3"/>
        <v>29990.09</v>
      </c>
      <c r="R26" s="27">
        <f t="shared" si="3"/>
        <v>140047.53</v>
      </c>
      <c r="S26" s="3"/>
      <c r="T26" s="3"/>
    </row>
    <row r="27" spans="1:20" ht="3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77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78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R18" sqref="R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6" width="9.28515625" bestFit="1" customWidth="1"/>
    <col min="17" max="17" width="10.42578125" bestFit="1" customWidth="1"/>
    <col min="18" max="18" width="12.42578125" customWidth="1"/>
  </cols>
  <sheetData>
    <row r="1" spans="1:20" ht="18.75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71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71</v>
      </c>
      <c r="G17" s="50">
        <v>2.75</v>
      </c>
      <c r="H17" s="28">
        <v>480000</v>
      </c>
      <c r="I17" s="28"/>
      <c r="J17" s="28"/>
      <c r="K17" s="28"/>
      <c r="L17" s="28">
        <f>60000+20000+20000+20000+20000</f>
        <v>140000</v>
      </c>
      <c r="M17" s="49">
        <f>H17+J17-L17</f>
        <v>340000</v>
      </c>
      <c r="N17" s="28"/>
      <c r="O17" s="50">
        <v>3318.07</v>
      </c>
      <c r="P17" s="50">
        <f>1358.9+1227.4+20+30.84+1354.52+23.13+1102.33+21.48+1001.87+924.16+898.81</f>
        <v>7963.4400000000005</v>
      </c>
      <c r="Q17" s="50">
        <f>1372.52+30.84+1247.4+23.13+1354.52+41.48+4428.26+960.39+924.16</f>
        <v>10382.700000000001</v>
      </c>
      <c r="R17" s="51">
        <f>O17+P17-Q17</f>
        <v>898.80999999999949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178000</v>
      </c>
      <c r="M18" s="27">
        <f t="shared" si="0"/>
        <v>340000</v>
      </c>
      <c r="N18" s="27">
        <f t="shared" si="0"/>
        <v>0</v>
      </c>
      <c r="O18" s="27">
        <f t="shared" si="0"/>
        <v>3432.57</v>
      </c>
      <c r="P18" s="27">
        <f t="shared" si="0"/>
        <v>8254.2100000000009</v>
      </c>
      <c r="Q18" s="27">
        <f t="shared" si="0"/>
        <v>10787.970000000001</v>
      </c>
      <c r="R18" s="58">
        <f t="shared" si="0"/>
        <v>898.80999999999949</v>
      </c>
      <c r="S18" s="3"/>
      <c r="T18" s="3"/>
    </row>
    <row r="19" spans="1:20" ht="15">
      <c r="A19" s="88" t="s">
        <v>21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88" t="s">
        <v>22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178000</v>
      </c>
      <c r="M24" s="27">
        <f t="shared" si="1"/>
        <v>340000</v>
      </c>
      <c r="N24" s="27">
        <f t="shared" si="1"/>
        <v>0</v>
      </c>
      <c r="O24" s="27">
        <f t="shared" si="1"/>
        <v>3432.57</v>
      </c>
      <c r="P24" s="27">
        <f t="shared" si="1"/>
        <v>8254.2100000000009</v>
      </c>
      <c r="Q24" s="27">
        <f t="shared" si="1"/>
        <v>10787.970000000001</v>
      </c>
      <c r="R24" s="58">
        <f t="shared" si="1"/>
        <v>898.80999999999949</v>
      </c>
      <c r="S24" s="3"/>
      <c r="T24" s="3"/>
    </row>
    <row r="25" spans="1:20" ht="15" thickBo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88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90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1" zoomScale="60" zoomScaleNormal="100" workbookViewId="0">
      <selection activeCell="P19" sqref="P1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31.25">
      <c r="A15" s="60">
        <v>1</v>
      </c>
      <c r="B15" s="69" t="s">
        <v>67</v>
      </c>
      <c r="C15" s="71" t="s">
        <v>64</v>
      </c>
      <c r="D15" s="72">
        <v>780000</v>
      </c>
      <c r="E15" s="73">
        <v>42389</v>
      </c>
      <c r="F15" s="74" t="s">
        <v>71</v>
      </c>
      <c r="G15" s="43">
        <v>2.75</v>
      </c>
      <c r="H15" s="75">
        <v>113382</v>
      </c>
      <c r="I15" s="43"/>
      <c r="J15" s="43"/>
      <c r="K15" s="75"/>
      <c r="L15" s="75">
        <f>8154+8154+8154+8154+8154+8154</f>
        <v>48924</v>
      </c>
      <c r="M15" s="49">
        <f>H15+J15-L15</f>
        <v>64458</v>
      </c>
      <c r="N15" s="43"/>
      <c r="O15" s="76">
        <v>322.10000000000002</v>
      </c>
      <c r="P15" s="76">
        <f>317.88+257.91+274.82+65.23+1.81+241.16+2.22+195.66+184.02+30.17+0.72+172.93+1.39</f>
        <v>1745.9200000000003</v>
      </c>
      <c r="Q15" s="76">
        <f>317.88+322.1+257.91+274.82+65.23+1.81+241.16+2.22+195.66</f>
        <v>1678.7900000000002</v>
      </c>
      <c r="R15" s="51">
        <f>O15+P15-Q15</f>
        <v>389.23000000000025</v>
      </c>
      <c r="S15" s="3"/>
      <c r="T15" s="3"/>
    </row>
    <row r="16" spans="1:20" ht="131.25">
      <c r="A16" s="60">
        <v>2</v>
      </c>
      <c r="B16" s="69" t="s">
        <v>68</v>
      </c>
      <c r="C16" s="71" t="s">
        <v>64</v>
      </c>
      <c r="D16" s="72">
        <v>500000</v>
      </c>
      <c r="E16" s="73">
        <v>42819</v>
      </c>
      <c r="F16" s="74" t="s">
        <v>71</v>
      </c>
      <c r="G16" s="43">
        <v>2.75</v>
      </c>
      <c r="H16" s="75">
        <v>159279</v>
      </c>
      <c r="I16" s="43"/>
      <c r="J16" s="43"/>
      <c r="K16" s="75"/>
      <c r="L16" s="75">
        <f>42565+8513</f>
        <v>51078</v>
      </c>
      <c r="M16" s="49">
        <f t="shared" ref="M16:M18" si="0">H16+J16-L16</f>
        <v>108201</v>
      </c>
      <c r="N16" s="43"/>
      <c r="O16" s="76">
        <v>454.81</v>
      </c>
      <c r="P16" s="76">
        <f>450.93+373.86+401.43+2.62+68.1+361.04+3.07+311.45+295.85+31.5+1.15+287.66+2.13</f>
        <v>2590.79</v>
      </c>
      <c r="Q16" s="76">
        <f>450.93+454.81+373.86+401.43+2.62+68.1+361.04+3.07+311.45</f>
        <v>2427.31</v>
      </c>
      <c r="R16" s="51">
        <f t="shared" ref="R16:R18" si="1">O16+P16-Q16</f>
        <v>618.29</v>
      </c>
      <c r="S16" s="3"/>
      <c r="T16" s="3"/>
    </row>
    <row r="17" spans="1:20" ht="131.25">
      <c r="A17" s="60">
        <v>3</v>
      </c>
      <c r="B17" s="69" t="s">
        <v>69</v>
      </c>
      <c r="C17" s="71" t="s">
        <v>64</v>
      </c>
      <c r="D17" s="72">
        <v>204000</v>
      </c>
      <c r="E17" s="73">
        <v>43758</v>
      </c>
      <c r="F17" s="74" t="s">
        <v>71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</f>
        <v>3835.8699999999994</v>
      </c>
      <c r="Q17" s="76">
        <f>577.53+577.53+521.64+575.67+3.65+544.93+3.77+534.22</f>
        <v>3338.9399999999996</v>
      </c>
      <c r="R17" s="51">
        <f t="shared" si="1"/>
        <v>1074.46</v>
      </c>
      <c r="S17" s="3"/>
      <c r="T17" s="3"/>
    </row>
    <row r="18" spans="1:20" ht="131.25">
      <c r="A18" s="70">
        <v>4</v>
      </c>
      <c r="B18" s="69" t="s">
        <v>70</v>
      </c>
      <c r="C18" s="71" t="s">
        <v>64</v>
      </c>
      <c r="D18" s="72">
        <v>216000</v>
      </c>
      <c r="E18" s="73">
        <v>43758</v>
      </c>
      <c r="F18" s="74" t="s">
        <v>71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</f>
        <v>4042.5499999999997</v>
      </c>
      <c r="Q18" s="76">
        <f>611.51+611.51+552.33+609.53+3.87+576.99+3.99+565.64</f>
        <v>3535.3699999999994</v>
      </c>
      <c r="R18" s="51">
        <f t="shared" si="1"/>
        <v>1118.69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100002</v>
      </c>
      <c r="M19" s="46">
        <f t="shared" si="2"/>
        <v>592659</v>
      </c>
      <c r="N19" s="46">
        <f t="shared" si="2"/>
        <v>0</v>
      </c>
      <c r="O19" s="46">
        <f t="shared" si="2"/>
        <v>1965.95</v>
      </c>
      <c r="P19" s="46">
        <f t="shared" si="2"/>
        <v>12215.13</v>
      </c>
      <c r="Q19" s="46">
        <f t="shared" si="2"/>
        <v>10980.41</v>
      </c>
      <c r="R19" s="46">
        <f t="shared" si="2"/>
        <v>3200.6700000000005</v>
      </c>
      <c r="S19" s="3"/>
      <c r="T19" s="3"/>
    </row>
    <row r="20" spans="1:20" ht="15">
      <c r="A20" s="88" t="s">
        <v>21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88" t="s">
        <v>22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100002</v>
      </c>
      <c r="M25" s="27">
        <f t="shared" si="3"/>
        <v>592659</v>
      </c>
      <c r="N25" s="27">
        <f t="shared" si="3"/>
        <v>0</v>
      </c>
      <c r="O25" s="27">
        <f t="shared" si="3"/>
        <v>1965.95</v>
      </c>
      <c r="P25" s="27">
        <f t="shared" si="3"/>
        <v>12215.13</v>
      </c>
      <c r="Q25" s="27">
        <f t="shared" si="3"/>
        <v>10980.41</v>
      </c>
      <c r="R25" s="27">
        <f t="shared" si="3"/>
        <v>3200.6700000000005</v>
      </c>
      <c r="S25" s="3"/>
      <c r="T25" s="3"/>
    </row>
    <row r="26" spans="1:20" ht="15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74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0">
      <c r="A15" s="43">
        <v>1</v>
      </c>
      <c r="B15" s="69" t="s">
        <v>82</v>
      </c>
      <c r="C15" s="69" t="s">
        <v>64</v>
      </c>
      <c r="D15" s="72">
        <v>1100000</v>
      </c>
      <c r="E15" s="73">
        <v>42819</v>
      </c>
      <c r="F15" s="61" t="s">
        <v>84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83</v>
      </c>
      <c r="C16" s="69" t="s">
        <v>64</v>
      </c>
      <c r="D16" s="72">
        <v>836000</v>
      </c>
      <c r="E16" s="73">
        <v>43758</v>
      </c>
      <c r="F16" s="61" t="s">
        <v>84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</f>
        <v>15553.269999999999</v>
      </c>
      <c r="Q16" s="76">
        <f>4733.52+2137.72+2282.77+2233.15+14.84+2189.25</f>
        <v>13591.25</v>
      </c>
      <c r="R16" s="51">
        <f>O16+P16-Q16</f>
        <v>4328.7799999999988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16144.539999999999</v>
      </c>
      <c r="Q17" s="46">
        <f t="shared" si="0"/>
        <v>14530.74</v>
      </c>
      <c r="R17" s="46">
        <f t="shared" si="0"/>
        <v>4328.7799999999988</v>
      </c>
      <c r="S17" s="3"/>
      <c r="T17" s="3"/>
    </row>
    <row r="18" spans="1:20" ht="15">
      <c r="A18" s="88" t="s">
        <v>21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88" t="s">
        <v>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16144.539999999999</v>
      </c>
      <c r="Q23" s="46">
        <f t="shared" si="1"/>
        <v>14530.74</v>
      </c>
      <c r="R23" s="46">
        <f t="shared" si="1"/>
        <v>4328.7799999999988</v>
      </c>
      <c r="S23" s="3"/>
      <c r="T23" s="3"/>
    </row>
    <row r="24" spans="1:20" ht="15" thickBo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79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80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81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8" workbookViewId="0">
      <selection activeCell="P15" sqref="P15"/>
    </sheetView>
  </sheetViews>
  <sheetFormatPr defaultRowHeight="12.75"/>
  <cols>
    <col min="4" max="4" width="11.42578125" bestFit="1" customWidth="1"/>
    <col min="8" max="8" width="10.5703125" customWidth="1"/>
    <col min="13" max="13" width="11.28515625" customWidth="1"/>
  </cols>
  <sheetData>
    <row r="1" spans="1:20" ht="18.75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396002</v>
      </c>
      <c r="M15" s="46">
        <f>Шала!M19+Кривцы!M18+Авдеево!M23+Красноборский!M25</f>
        <v>6800159</v>
      </c>
      <c r="N15" s="46">
        <f>Шала!N19+Кривцы!N18+Авдеево!N23+Красноборский!N25</f>
        <v>500000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136146.37</v>
      </c>
      <c r="Q15" s="46">
        <f>Шала!Q19+Кривцы!Q18+Авдеево!Q23+Красноборский!Q25</f>
        <v>66289.209999999992</v>
      </c>
      <c r="R15" s="46">
        <f>Шала!R19+Кривцы!R18+Авдеево!R23+Красноборский!R25</f>
        <v>148475.79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88" t="s">
        <v>21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88" t="s">
        <v>22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6" t="s">
        <v>56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2017-07-18T08:36:24Z</cp:lastPrinted>
  <dcterms:created xsi:type="dcterms:W3CDTF">2006-06-05T06:40:26Z</dcterms:created>
  <dcterms:modified xsi:type="dcterms:W3CDTF">2017-08-01T11:53:01Z</dcterms:modified>
</cp:coreProperties>
</file>