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N15" i="6"/>
  <c r="N16"/>
  <c r="N15" i="5"/>
  <c r="N15" i="4"/>
  <c r="N17" i="3"/>
  <c r="N16"/>
  <c r="N18" i="2"/>
  <c r="N17"/>
  <c r="O34" i="1"/>
  <c r="O28"/>
  <c r="O30" l="1"/>
  <c r="O27"/>
  <c r="N26"/>
  <c r="O26"/>
  <c r="O29"/>
  <c r="N28"/>
  <c r="N27"/>
  <c r="N33" l="1"/>
  <c r="N32"/>
  <c r="N31"/>
  <c r="N29"/>
  <c r="O33"/>
  <c r="O32"/>
  <c r="O31"/>
  <c r="J33"/>
  <c r="J27"/>
  <c r="N42"/>
  <c r="O41"/>
  <c r="N41"/>
  <c r="O40"/>
  <c r="N40"/>
  <c r="L20" i="3"/>
  <c r="M20"/>
  <c r="N20"/>
  <c r="O20"/>
  <c r="H19" i="2" l="1"/>
  <c r="P17" i="3"/>
  <c r="M19" i="2" l="1"/>
  <c r="M30" i="3"/>
  <c r="M34" i="1"/>
  <c r="H43"/>
  <c r="P31" l="1"/>
  <c r="P32"/>
  <c r="P33"/>
  <c r="O19" i="2"/>
  <c r="N19"/>
  <c r="I19" l="1"/>
  <c r="K18"/>
  <c r="K17" i="3"/>
  <c r="H20"/>
  <c r="E20"/>
  <c r="P18" i="2"/>
  <c r="Q17" i="3" l="1"/>
  <c r="Q18" i="2"/>
  <c r="O43" i="1" l="1"/>
  <c r="N43"/>
  <c r="E34"/>
  <c r="H34"/>
  <c r="I34"/>
  <c r="K33"/>
  <c r="Q33" s="1"/>
  <c r="K32"/>
  <c r="Q32" s="1"/>
  <c r="K31" l="1"/>
  <c r="Q31" s="1"/>
  <c r="P42"/>
  <c r="K42"/>
  <c r="I43"/>
  <c r="P29"/>
  <c r="P30"/>
  <c r="Q42" l="1"/>
  <c r="K29" l="1"/>
  <c r="Q29" s="1"/>
  <c r="K30"/>
  <c r="Q30" l="1"/>
  <c r="P41" l="1"/>
  <c r="N34"/>
  <c r="K41"/>
  <c r="E43"/>
  <c r="J34" l="1"/>
  <c r="Q41"/>
  <c r="P28"/>
  <c r="K28" l="1"/>
  <c r="Q28" l="1"/>
  <c r="J43" l="1"/>
  <c r="L16" i="7" l="1"/>
  <c r="L19" s="1"/>
  <c r="Q25"/>
  <c r="P25"/>
  <c r="O25"/>
  <c r="N25"/>
  <c r="M25"/>
  <c r="K25"/>
  <c r="J25"/>
  <c r="I25"/>
  <c r="H25"/>
  <c r="E25"/>
  <c r="E19"/>
  <c r="K18"/>
  <c r="H18" i="6" l="1"/>
  <c r="J18"/>
  <c r="M18"/>
  <c r="N18"/>
  <c r="O18"/>
  <c r="E18"/>
  <c r="H18" i="4" l="1"/>
  <c r="I18"/>
  <c r="J18"/>
  <c r="M18"/>
  <c r="M28" s="1"/>
  <c r="N18"/>
  <c r="O18"/>
  <c r="E18"/>
  <c r="J19" i="2"/>
  <c r="E19"/>
  <c r="P40" i="1" l="1"/>
  <c r="P27"/>
  <c r="K27" l="1"/>
  <c r="Q27" l="1"/>
  <c r="K40"/>
  <c r="Q40" l="1"/>
  <c r="K16" i="6" l="1"/>
  <c r="P16" i="2" l="1"/>
  <c r="L16" l="1"/>
  <c r="L17"/>
  <c r="P16" i="3"/>
  <c r="P20" s="1"/>
  <c r="K15" i="6" l="1"/>
  <c r="K18" s="1"/>
  <c r="J18" i="5" l="1"/>
  <c r="L18"/>
  <c r="M18"/>
  <c r="M28" s="1"/>
  <c r="N18"/>
  <c r="O18"/>
  <c r="E18"/>
  <c r="J20" i="3"/>
  <c r="K17" i="2"/>
  <c r="M47" i="1"/>
  <c r="P16" i="6" l="1"/>
  <c r="P15" i="5"/>
  <c r="P18" s="1"/>
  <c r="K15"/>
  <c r="P15" i="4"/>
  <c r="P18" s="1"/>
  <c r="K15"/>
  <c r="K18" s="1"/>
  <c r="K16" i="3"/>
  <c r="K20" s="1"/>
  <c r="P17" i="2"/>
  <c r="P19" s="1"/>
  <c r="Q16" i="6" l="1"/>
  <c r="Q15" i="5"/>
  <c r="Q18" s="1"/>
  <c r="Q15" i="4"/>
  <c r="Q18" s="1"/>
  <c r="Q16" i="3"/>
  <c r="Q20" s="1"/>
  <c r="P26" i="1"/>
  <c r="K26"/>
  <c r="Q26" l="1"/>
  <c r="P43" l="1"/>
  <c r="K43" l="1"/>
  <c r="Q43" l="1"/>
  <c r="P25"/>
  <c r="P15" i="6"/>
  <c r="Q15" l="1"/>
  <c r="Q18" s="1"/>
  <c r="P18"/>
  <c r="K25" i="1"/>
  <c r="Q25" s="1"/>
  <c r="P24" l="1"/>
  <c r="I47"/>
  <c r="K24"/>
  <c r="O29" i="2"/>
  <c r="K17" i="6"/>
  <c r="E24"/>
  <c r="H24"/>
  <c r="I24"/>
  <c r="J24"/>
  <c r="K24"/>
  <c r="M24"/>
  <c r="M28" s="1"/>
  <c r="M16" i="7" s="1"/>
  <c r="M19" s="1"/>
  <c r="M29" s="1"/>
  <c r="N24" i="6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I19" s="1"/>
  <c r="I29" s="1"/>
  <c r="J26" i="3"/>
  <c r="J30" s="1"/>
  <c r="K26"/>
  <c r="M26"/>
  <c r="N26"/>
  <c r="O26"/>
  <c r="P26"/>
  <c r="Q26"/>
  <c r="K16" i="2"/>
  <c r="K19" s="1"/>
  <c r="Q17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P20"/>
  <c r="K23"/>
  <c r="K37"/>
  <c r="P37"/>
  <c r="N28" i="5"/>
  <c r="N28" i="4"/>
  <c r="N29" i="2"/>
  <c r="O28" i="5"/>
  <c r="H16" i="7" l="1"/>
  <c r="H19" s="1"/>
  <c r="H29" s="1"/>
  <c r="K34" i="1"/>
  <c r="K47" s="1"/>
  <c r="I28" i="6"/>
  <c r="J28" i="4"/>
  <c r="O28"/>
  <c r="P28" s="1"/>
  <c r="O28" i="6"/>
  <c r="P28"/>
  <c r="H28" i="4"/>
  <c r="I28"/>
  <c r="K28"/>
  <c r="N28" i="6"/>
  <c r="K28"/>
  <c r="I28" i="5"/>
  <c r="N30" i="3"/>
  <c r="O30"/>
  <c r="K29" i="2"/>
  <c r="Q16"/>
  <c r="Q19" s="1"/>
  <c r="Q19" i="1"/>
  <c r="H47"/>
  <c r="Q20"/>
  <c r="Q16"/>
  <c r="Q37"/>
  <c r="K28" i="5"/>
  <c r="H28" i="6"/>
  <c r="J28"/>
  <c r="P29" i="2"/>
  <c r="Q24" i="1"/>
  <c r="P28" i="5"/>
  <c r="J28"/>
  <c r="P23" i="1"/>
  <c r="P34" s="1"/>
  <c r="O47"/>
  <c r="J47"/>
  <c r="P30" i="3"/>
  <c r="Q30"/>
  <c r="N16" i="7" l="1"/>
  <c r="N19" s="1"/>
  <c r="N29" s="1"/>
  <c r="Q23" i="1"/>
  <c r="J16" i="7"/>
  <c r="J19" s="1"/>
  <c r="J29" s="1"/>
  <c r="K16"/>
  <c r="K19" s="1"/>
  <c r="K29" s="1"/>
  <c r="O16"/>
  <c r="O19" s="1"/>
  <c r="O29" s="1"/>
  <c r="Q28" i="4"/>
  <c r="Q29" i="2"/>
  <c r="Q28" i="6"/>
  <c r="Q28" i="5"/>
  <c r="N47" i="1"/>
  <c r="P16" i="7" l="1"/>
  <c r="P19" s="1"/>
  <c r="P29" s="1"/>
  <c r="P47" i="1"/>
  <c r="Q34"/>
  <c r="Q47" s="1"/>
  <c r="Q16" i="7" l="1"/>
  <c r="Q19" s="1"/>
  <c r="Q29" s="1"/>
</calcChain>
</file>

<file path=xl/sharedStrings.xml><?xml version="1.0" encoding="utf-8"?>
<sst xmlns="http://schemas.openxmlformats.org/spreadsheetml/2006/main" count="313" uniqueCount="92">
  <si>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</si>
  <si>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</si>
  <si>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</si>
  <si>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</si>
  <si>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</si>
  <si>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</si>
  <si>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</si>
  <si>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</si>
  <si>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</si>
  <si>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</si>
  <si>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</si>
  <si>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</si>
  <si>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</si>
  <si>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</si>
  <si>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</si>
  <si>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</si>
  <si>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</si>
  <si>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</si>
  <si>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</si>
  <si>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</si>
  <si>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</si>
  <si>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</si>
  <si>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</si>
  <si>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</si>
  <si>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</si>
  <si>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</si>
  <si>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</si>
  <si>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</si>
  <si>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</si>
  <si>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</si>
  <si>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</si>
  <si>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</si>
  <si>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</si>
  <si>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</si>
  <si>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</si>
  <si>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</si>
  <si>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</si>
  <si>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</si>
  <si>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</si>
  <si>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</si>
  <si>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</si>
  <si>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</si>
  <si>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</si>
  <si>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</si>
  <si>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</si>
  <si>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</si>
  <si>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</si>
  <si>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</si>
  <si>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</si>
  <si>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</si>
  <si>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</si>
  <si>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</si>
  <si>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</si>
  <si>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</si>
  <si>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</si>
  <si>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</si>
  <si>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</si>
  <si>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</si>
  <si>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</si>
  <si>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</si>
  <si>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</si>
  <si>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</si>
  <si>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</si>
  <si>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</si>
  <si>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</si>
  <si>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</si>
  <si>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</si>
  <si>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</si>
  <si>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</si>
  <si>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</si>
  <si>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</si>
  <si>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</si>
  <si>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</si>
  <si>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</si>
  <si>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</si>
  <si>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</si>
  <si>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</si>
  <si>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</si>
  <si>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</si>
  <si>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</si>
  <si>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Договор  N13-01/14 от  25.12.2014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</si>
  <si>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</si>
  <si>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</si>
  <si>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</si>
  <si>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</si>
  <si>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</si>
  <si>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</si>
  <si>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по состоянию на 01  марта 2016 года</t>
  </si>
  <si>
    <t>по состоянию на 01  марта   2016 года</t>
  </si>
  <si>
    <t>по состоянию на 01 марта  2016 года</t>
  </si>
  <si>
    <t>по состоянию на 01  марта  2016 года</t>
  </si>
  <si>
    <t>по состоянию на 01 марта 2016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</si>
</sst>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6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view="pageBreakPreview" topLeftCell="D1" zoomScaleNormal="75" workbookViewId="0">
      <selection activeCell="O43" sqref="O43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.7109375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9.140625" style="1" customWidth="1"/>
    <col min="10" max="10" width="14.5703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4" t="s">
        <v>23</v>
      </c>
      <c r="M1" s="212"/>
      <c r="N1" s="212"/>
      <c r="O1" s="212"/>
      <c r="P1" s="212"/>
      <c r="Q1" s="212"/>
    </row>
    <row r="2" spans="1:17" ht="26.25" hidden="1" customHeight="1">
      <c r="L2" s="212"/>
      <c r="M2" s="212"/>
      <c r="N2" s="212"/>
      <c r="O2" s="212"/>
      <c r="P2" s="212"/>
      <c r="Q2" s="212"/>
    </row>
    <row r="3" spans="1:17" ht="21" customHeight="1">
      <c r="A3" s="229" t="s">
        <v>25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1"/>
      <c r="P3" s="231"/>
      <c r="Q3" s="231"/>
    </row>
    <row r="4" spans="1:17" ht="16.5" customHeight="1">
      <c r="B4" s="2"/>
      <c r="C4" s="2"/>
      <c r="D4" s="223" t="s">
        <v>87</v>
      </c>
      <c r="E4" s="224"/>
      <c r="F4" s="224"/>
      <c r="G4" s="224"/>
      <c r="H4" s="224"/>
      <c r="I4" s="224"/>
      <c r="J4" s="224"/>
      <c r="K4" s="224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1" t="s">
        <v>22</v>
      </c>
      <c r="O5" s="221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5"/>
      <c r="G7" s="225"/>
      <c r="H7" s="225"/>
      <c r="I7" s="225"/>
      <c r="J7" s="225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5" t="s">
        <v>19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26" t="s">
        <v>20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3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3" si="1">H20+I20-J20</f>
        <v>0</v>
      </c>
      <c r="L20" s="52"/>
      <c r="M20" s="50"/>
      <c r="N20" s="50"/>
      <c r="O20" s="50"/>
      <c r="P20" s="50">
        <f t="shared" ref="P20:P33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v>350000</v>
      </c>
      <c r="K26" s="36">
        <f t="shared" si="1"/>
        <v>3150000</v>
      </c>
      <c r="L26" s="183">
        <v>2.75</v>
      </c>
      <c r="M26" s="50">
        <v>7247.94</v>
      </c>
      <c r="N26" s="50">
        <f>17430.31+3187.36+77.83</f>
        <v>20695.500000000004</v>
      </c>
      <c r="O26" s="50">
        <f>687.49+17430.31+6473.79+86.66</f>
        <v>24678.250000000004</v>
      </c>
      <c r="P26" s="50">
        <f t="shared" si="2"/>
        <v>3265.1899999999996</v>
      </c>
      <c r="Q26" s="50">
        <f t="shared" si="0"/>
        <v>3153265.19</v>
      </c>
    </row>
    <row r="27" spans="1:17" s="3" customFormat="1" ht="30.75" customHeight="1">
      <c r="A27" s="61"/>
      <c r="B27" s="62" t="s">
        <v>24</v>
      </c>
      <c r="C27" s="30" t="s">
        <v>80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</f>
        <v>100000</v>
      </c>
      <c r="K27" s="36">
        <f t="shared" si="1"/>
        <v>2850000</v>
      </c>
      <c r="L27" s="183">
        <v>2.75</v>
      </c>
      <c r="M27" s="50">
        <v>6690.41</v>
      </c>
      <c r="N27" s="50">
        <f>9322.65+8097.88+15.41</f>
        <v>17435.939999999999</v>
      </c>
      <c r="O27" s="50">
        <f>6464.38+9322.65+252.38</f>
        <v>16039.409999999998</v>
      </c>
      <c r="P27" s="50">
        <f t="shared" si="2"/>
        <v>8086.9400000000005</v>
      </c>
      <c r="Q27" s="50">
        <f t="shared" si="0"/>
        <v>2858086.94</v>
      </c>
    </row>
    <row r="28" spans="1:17" s="3" customFormat="1" ht="30.75" customHeight="1">
      <c r="A28" s="61"/>
      <c r="B28" s="62" t="s">
        <v>24</v>
      </c>
      <c r="C28" s="30" t="s">
        <v>71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</f>
        <v>60109.84</v>
      </c>
      <c r="O28" s="50">
        <f>21849.32+31056.75+753.42</f>
        <v>53659.49</v>
      </c>
      <c r="P28" s="50">
        <f t="shared" si="2"/>
        <v>29053.09</v>
      </c>
      <c r="Q28" s="50">
        <f t="shared" si="0"/>
        <v>10029053.09</v>
      </c>
    </row>
    <row r="29" spans="1:17" s="3" customFormat="1" ht="28.5" customHeight="1">
      <c r="A29" s="61"/>
      <c r="B29" s="62" t="s">
        <v>24</v>
      </c>
      <c r="C29" s="30" t="s">
        <v>78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</f>
        <v>42076.880000000005</v>
      </c>
      <c r="O29" s="50">
        <f>16349.32+11.17+21739.72</f>
        <v>38100.21</v>
      </c>
      <c r="P29" s="50">
        <f t="shared" si="2"/>
        <v>20337.160000000003</v>
      </c>
      <c r="Q29" s="50">
        <f t="shared" si="0"/>
        <v>7020337.1600000001</v>
      </c>
    </row>
    <row r="30" spans="1:17" s="3" customFormat="1" ht="33" customHeight="1">
      <c r="A30" s="61"/>
      <c r="B30" s="62" t="s">
        <v>24</v>
      </c>
      <c r="C30" s="30" t="s">
        <v>79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86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</f>
        <v>18032.95</v>
      </c>
      <c r="O31" s="50">
        <f>3164.38+9317.02</f>
        <v>12481.400000000001</v>
      </c>
      <c r="P31" s="50">
        <f t="shared" si="2"/>
        <v>8715.93</v>
      </c>
      <c r="Q31" s="50">
        <f t="shared" si="0"/>
        <v>3008715.93</v>
      </c>
    </row>
    <row r="32" spans="1:17" s="3" customFormat="1" ht="30.75" customHeight="1">
      <c r="A32" s="61"/>
      <c r="B32" s="62"/>
      <c r="C32" s="30" t="s">
        <v>84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</f>
        <v>53497.759999999995</v>
      </c>
      <c r="O32" s="50">
        <f>4693.84+27640.51</f>
        <v>32334.35</v>
      </c>
      <c r="P32" s="50">
        <f t="shared" si="2"/>
        <v>25857.249999999996</v>
      </c>
      <c r="Q32" s="50">
        <f t="shared" si="0"/>
        <v>8925857.25</v>
      </c>
    </row>
    <row r="33" spans="1:17" s="3" customFormat="1" ht="30.75" customHeight="1">
      <c r="A33" s="61"/>
      <c r="B33" s="62"/>
      <c r="C33" s="30" t="s">
        <v>85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</f>
        <v>666000</v>
      </c>
      <c r="K33" s="36">
        <f t="shared" si="1"/>
        <v>3334000</v>
      </c>
      <c r="L33" s="183">
        <v>2.75</v>
      </c>
      <c r="M33" s="50">
        <v>2109.59</v>
      </c>
      <c r="N33" s="50">
        <f>11989.01+10153.35</f>
        <v>22142.36</v>
      </c>
      <c r="O33" s="50">
        <f>2109.59+11989.01</f>
        <v>14098.6</v>
      </c>
      <c r="P33" s="50">
        <f t="shared" si="2"/>
        <v>10153.35</v>
      </c>
      <c r="Q33" s="50">
        <f t="shared" si="0"/>
        <v>3344153.35</v>
      </c>
    </row>
    <row r="34" spans="1:17" s="3" customFormat="1" ht="18.75" customHeight="1">
      <c r="A34" s="44" t="s">
        <v>15</v>
      </c>
      <c r="B34" s="45"/>
      <c r="C34" s="30"/>
      <c r="D34" s="31"/>
      <c r="E34" s="47">
        <f>E21+E22+E23+E24+E25+E26+E29+E30+E31+E32+E33</f>
        <v>48680000</v>
      </c>
      <c r="F34" s="47"/>
      <c r="G34" s="47"/>
      <c r="H34" s="47">
        <f>H21+H22+H23+H24+H25+H26+H27+H28+H29+H30+H31+H32+H33</f>
        <v>39350000</v>
      </c>
      <c r="I34" s="47">
        <f>I21+I22+I23+I24+I25+I26+I27+I28+I29+I30+I31+I32+I33</f>
        <v>0</v>
      </c>
      <c r="J34" s="47">
        <f>J21+J22+J23+J24+J25+J26+J27+J28+J29+J30+J31+J32+J33</f>
        <v>1116000</v>
      </c>
      <c r="K34" s="47">
        <f>K21+K22+K23+K24+K25+K26+K27+K28+K29+K30+K31+K32+K33</f>
        <v>38234000</v>
      </c>
      <c r="L34" s="47"/>
      <c r="M34" s="47">
        <f>M21+M22+M23+M24+M25+M26+M27+M28+M29+M30+M31+M32+M33</f>
        <v>81607.23</v>
      </c>
      <c r="N34" s="47">
        <f>N21+N22+N23+N24+N25+N26+N27+N28+N29+N30+N31+N32+N33</f>
        <v>233991.22999999998</v>
      </c>
      <c r="O34" s="47">
        <f>O24+O25+O26+O27+O28+O29+O30+O31+O32+O33+O23</f>
        <v>210129.55</v>
      </c>
      <c r="P34" s="47">
        <f>P21+P22+P23+P24+P25+P26+P27+P28+P29+P30+P31+P32+P33</f>
        <v>105468.91</v>
      </c>
      <c r="Q34" s="186">
        <f>K34+P34</f>
        <v>38339468.909999996</v>
      </c>
    </row>
    <row r="35" spans="1:17" s="3" customFormat="1" ht="20.25" customHeight="1">
      <c r="A35" s="215" t="s">
        <v>21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Q35" s="40"/>
    </row>
    <row r="36" spans="1:17" s="3" customFormat="1" ht="48.75" hidden="1" customHeight="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Q36" s="40"/>
    </row>
    <row r="37" spans="1:17" s="3" customFormat="1" ht="0.75" hidden="1" customHeight="1">
      <c r="A37" s="67"/>
      <c r="B37" s="202" t="s">
        <v>34</v>
      </c>
      <c r="C37" s="203" t="s">
        <v>30</v>
      </c>
      <c r="D37" s="31" t="s">
        <v>31</v>
      </c>
      <c r="E37" s="32">
        <v>3200000</v>
      </c>
      <c r="F37" s="48">
        <v>40619</v>
      </c>
      <c r="G37" s="34"/>
      <c r="H37" s="35"/>
      <c r="I37" s="36"/>
      <c r="J37" s="69"/>
      <c r="K37" s="50">
        <f>H37-J37</f>
        <v>0</v>
      </c>
      <c r="L37" s="36">
        <v>16</v>
      </c>
      <c r="M37" s="36"/>
      <c r="N37" s="50"/>
      <c r="O37" s="50"/>
      <c r="P37" s="47">
        <f>N37-O37</f>
        <v>0</v>
      </c>
      <c r="Q37" s="50">
        <f>K37+P37</f>
        <v>0</v>
      </c>
    </row>
    <row r="38" spans="1:17" s="3" customFormat="1" ht="36.75" hidden="1" customHeight="1">
      <c r="A38" s="28"/>
      <c r="B38" s="204" t="s">
        <v>34</v>
      </c>
      <c r="C38" s="30" t="s">
        <v>69</v>
      </c>
      <c r="D38" s="31"/>
      <c r="E38" s="32"/>
      <c r="F38" s="48"/>
      <c r="G38" s="34"/>
      <c r="H38" s="35"/>
      <c r="I38" s="36"/>
      <c r="J38" s="69"/>
      <c r="K38" s="36"/>
      <c r="L38" s="36"/>
      <c r="M38" s="36"/>
      <c r="N38" s="50"/>
      <c r="O38" s="50"/>
      <c r="P38" s="47"/>
      <c r="Q38" s="50"/>
    </row>
    <row r="39" spans="1:17" s="3" customFormat="1" ht="41.25" hidden="1" customHeight="1">
      <c r="A39" s="28"/>
      <c r="B39" s="204" t="s">
        <v>37</v>
      </c>
      <c r="C39" s="30" t="s">
        <v>48</v>
      </c>
      <c r="D39" s="31"/>
      <c r="E39" s="32"/>
      <c r="F39" s="48"/>
      <c r="G39" s="34"/>
      <c r="H39" s="35"/>
      <c r="I39" s="36"/>
      <c r="J39" s="69"/>
      <c r="K39" s="50"/>
      <c r="L39" s="50"/>
      <c r="M39" s="36"/>
      <c r="N39" s="50"/>
      <c r="O39" s="50"/>
      <c r="P39" s="47"/>
      <c r="Q39" s="50"/>
    </row>
    <row r="40" spans="1:17" s="3" customFormat="1" ht="53.25" customHeight="1">
      <c r="A40" s="28"/>
      <c r="B40" s="204" t="s">
        <v>37</v>
      </c>
      <c r="C40" s="30" t="s">
        <v>67</v>
      </c>
      <c r="D40" s="31" t="s">
        <v>68</v>
      </c>
      <c r="E40" s="32">
        <v>8000000</v>
      </c>
      <c r="F40" s="48">
        <v>42524</v>
      </c>
      <c r="G40" s="34"/>
      <c r="H40" s="35">
        <v>3537000</v>
      </c>
      <c r="I40" s="36"/>
      <c r="J40" s="69">
        <v>708000</v>
      </c>
      <c r="K40" s="50">
        <f>I40-J40+H40</f>
        <v>2829000</v>
      </c>
      <c r="L40" s="50">
        <v>13.3</v>
      </c>
      <c r="M40" s="36"/>
      <c r="N40" s="50">
        <f>38558.01+29812.71</f>
        <v>68370.720000000001</v>
      </c>
      <c r="O40" s="50">
        <f>38558.01+29812.71</f>
        <v>68370.720000000001</v>
      </c>
      <c r="P40" s="47">
        <f>N40-O40</f>
        <v>0</v>
      </c>
      <c r="Q40" s="50">
        <f>K40+P40</f>
        <v>2829000</v>
      </c>
    </row>
    <row r="41" spans="1:17" s="3" customFormat="1" ht="39.75" customHeight="1">
      <c r="A41" s="28"/>
      <c r="B41" s="204" t="s">
        <v>37</v>
      </c>
      <c r="C41" s="30" t="s">
        <v>72</v>
      </c>
      <c r="D41" s="31" t="s">
        <v>68</v>
      </c>
      <c r="E41" s="32">
        <v>11000000</v>
      </c>
      <c r="F41" s="48">
        <v>42944</v>
      </c>
      <c r="G41" s="34"/>
      <c r="H41" s="35">
        <v>11000000</v>
      </c>
      <c r="I41" s="36">
        <v>0</v>
      </c>
      <c r="J41" s="69">
        <v>0</v>
      </c>
      <c r="K41" s="50">
        <f>I41-J41+H41</f>
        <v>11000000</v>
      </c>
      <c r="L41" s="50">
        <v>15.8</v>
      </c>
      <c r="M41" s="36"/>
      <c r="N41" s="50">
        <f>147207.65+137710.38</f>
        <v>284918.03000000003</v>
      </c>
      <c r="O41" s="50">
        <f>147207.65+137710.38</f>
        <v>284918.03000000003</v>
      </c>
      <c r="P41" s="47">
        <f>N41-O41</f>
        <v>0</v>
      </c>
      <c r="Q41" s="50">
        <f>K41+P41</f>
        <v>11000000</v>
      </c>
    </row>
    <row r="42" spans="1:17" s="3" customFormat="1" ht="45" customHeight="1">
      <c r="A42" s="205"/>
      <c r="B42" s="204" t="s">
        <v>37</v>
      </c>
      <c r="C42" s="30" t="s">
        <v>81</v>
      </c>
      <c r="D42" s="31" t="s">
        <v>68</v>
      </c>
      <c r="E42" s="32"/>
      <c r="F42" s="48">
        <v>43075</v>
      </c>
      <c r="G42" s="34"/>
      <c r="H42" s="35">
        <v>8000000</v>
      </c>
      <c r="I42" s="36">
        <v>0</v>
      </c>
      <c r="J42" s="69"/>
      <c r="K42" s="50">
        <f>I42-J42+H42</f>
        <v>8000000</v>
      </c>
      <c r="L42" s="50">
        <v>13.47</v>
      </c>
      <c r="M42" s="36"/>
      <c r="N42" s="50">
        <f>91290.43+85400.72</f>
        <v>176691.15</v>
      </c>
      <c r="O42" s="50">
        <v>176691.15</v>
      </c>
      <c r="P42" s="47">
        <f>N42-O42</f>
        <v>0</v>
      </c>
      <c r="Q42" s="50">
        <f>K42+P42</f>
        <v>8000000</v>
      </c>
    </row>
    <row r="43" spans="1:17" s="3" customFormat="1" ht="15" customHeight="1">
      <c r="A43" s="68" t="s">
        <v>15</v>
      </c>
      <c r="B43" s="45"/>
      <c r="C43" s="30"/>
      <c r="D43" s="31"/>
      <c r="E43" s="32">
        <f>E39+E40+E40+E41</f>
        <v>27000000</v>
      </c>
      <c r="F43" s="32"/>
      <c r="G43" s="32"/>
      <c r="H43" s="200">
        <f>H39+H40+H41+H42</f>
        <v>22537000</v>
      </c>
      <c r="I43" s="200">
        <f>I39+I40+I41+I42</f>
        <v>0</v>
      </c>
      <c r="J43" s="47">
        <f>J39+J40+J41+J42</f>
        <v>708000</v>
      </c>
      <c r="K43" s="47">
        <f>K39+K40+K41+K42</f>
        <v>21829000</v>
      </c>
      <c r="L43" s="32"/>
      <c r="M43" s="32"/>
      <c r="N43" s="47">
        <f>N39+N40+N38+N41+N42</f>
        <v>529979.9</v>
      </c>
      <c r="O43" s="47">
        <f>O39+O40+O38+O41+O42</f>
        <v>529979.9</v>
      </c>
      <c r="P43" s="47">
        <f>P39+P40+P38+P41</f>
        <v>0</v>
      </c>
      <c r="Q43" s="47">
        <f>Q39+Q40+Q41+Q42</f>
        <v>21829000</v>
      </c>
    </row>
    <row r="44" spans="1:17" s="3" customFormat="1" ht="10.5" customHeight="1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Q44" s="40"/>
    </row>
    <row r="45" spans="1:17" s="3" customFormat="1" ht="10.5" customHeight="1">
      <c r="A45" s="28"/>
      <c r="B45" s="29"/>
      <c r="C45" s="30"/>
      <c r="D45" s="31"/>
      <c r="E45" s="32"/>
      <c r="F45" s="33"/>
      <c r="G45" s="34"/>
      <c r="H45" s="35"/>
      <c r="I45" s="36"/>
      <c r="J45" s="37"/>
      <c r="K45" s="36"/>
      <c r="L45" s="36"/>
      <c r="M45" s="36"/>
      <c r="N45" s="36"/>
      <c r="O45" s="36"/>
      <c r="P45" s="36"/>
      <c r="Q45" s="36"/>
    </row>
    <row r="46" spans="1:17" s="3" customFormat="1" ht="12.75" customHeight="1">
      <c r="A46" s="44" t="s">
        <v>15</v>
      </c>
      <c r="B46" s="45"/>
      <c r="C46" s="30"/>
      <c r="D46" s="31"/>
      <c r="E46" s="32"/>
      <c r="F46" s="33"/>
      <c r="G46" s="34"/>
      <c r="H46" s="35"/>
      <c r="I46" s="36"/>
      <c r="J46" s="37"/>
      <c r="K46" s="36"/>
      <c r="L46" s="36"/>
      <c r="M46" s="36"/>
      <c r="N46" s="36"/>
      <c r="O46" s="36"/>
      <c r="P46" s="36"/>
      <c r="Q46" s="36"/>
    </row>
    <row r="47" spans="1:17" s="24" customFormat="1" ht="23.25" customHeight="1">
      <c r="A47" s="217" t="s">
        <v>17</v>
      </c>
      <c r="B47" s="218"/>
      <c r="C47" s="219"/>
      <c r="D47" s="219"/>
      <c r="E47" s="219"/>
      <c r="F47" s="220"/>
      <c r="G47" s="23"/>
      <c r="H47" s="57">
        <f>H34+H43</f>
        <v>61887000</v>
      </c>
      <c r="I47" s="57">
        <f>I34+I43</f>
        <v>0</v>
      </c>
      <c r="J47" s="56">
        <f>J34+J43</f>
        <v>1824000</v>
      </c>
      <c r="K47" s="56">
        <f>K34+K43</f>
        <v>60063000</v>
      </c>
      <c r="L47" s="58"/>
      <c r="M47" s="56">
        <f>M34+M43</f>
        <v>81607.23</v>
      </c>
      <c r="N47" s="56">
        <f>N34+N43</f>
        <v>763971.13</v>
      </c>
      <c r="O47" s="56">
        <f>O34+O43</f>
        <v>740109.45</v>
      </c>
      <c r="P47" s="56">
        <f>P34+P43</f>
        <v>105468.91</v>
      </c>
      <c r="Q47" s="187">
        <f>Q34+Q43</f>
        <v>60168468.909999996</v>
      </c>
    </row>
    <row r="48" spans="1:17" ht="10.5" customHeight="1">
      <c r="A48" s="18"/>
      <c r="B48" s="25"/>
      <c r="C48" s="19"/>
      <c r="D48" s="19"/>
      <c r="E48" s="20"/>
      <c r="F48" s="22"/>
      <c r="G48" s="22"/>
      <c r="H48" s="26"/>
      <c r="I48" s="27"/>
      <c r="J48" s="27"/>
      <c r="K48" s="26"/>
      <c r="L48" s="26"/>
      <c r="M48" s="26"/>
      <c r="N48" s="26"/>
      <c r="O48" s="26"/>
      <c r="P48" s="26"/>
      <c r="Q48" s="26"/>
    </row>
    <row r="49" spans="2:14">
      <c r="N49" s="71"/>
    </row>
    <row r="50" spans="2:14" ht="17.25" customHeight="1">
      <c r="B50" s="207" t="s">
        <v>50</v>
      </c>
      <c r="C50" s="208"/>
      <c r="D50" s="208"/>
      <c r="E50" s="209"/>
      <c r="F50" s="210"/>
      <c r="G50" s="210"/>
      <c r="H50" s="211"/>
      <c r="I50" s="212"/>
      <c r="J50" s="212"/>
      <c r="K50" s="212"/>
    </row>
    <row r="53" spans="2:14" ht="15.75">
      <c r="B53" s="207" t="s">
        <v>75</v>
      </c>
      <c r="C53" s="213"/>
      <c r="D53" s="213"/>
      <c r="E53" s="213"/>
      <c r="F53" s="213"/>
      <c r="G53" s="213"/>
      <c r="H53" s="213"/>
      <c r="I53" s="213"/>
      <c r="J53" s="213"/>
      <c r="K53" s="213"/>
    </row>
    <row r="55" spans="2:14" ht="25.5">
      <c r="B55" s="201"/>
      <c r="C55" s="5" t="s">
        <v>27</v>
      </c>
    </row>
    <row r="67" spans="3:3" ht="16.5" customHeight="1"/>
    <row r="68" spans="3:3" ht="30" customHeight="1">
      <c r="C68" s="21"/>
    </row>
  </sheetData>
  <mergeCells count="12">
    <mergeCell ref="B50:K50"/>
    <mergeCell ref="B53:K53"/>
    <mergeCell ref="L1:Q2"/>
    <mergeCell ref="A44:M44"/>
    <mergeCell ref="A47:F47"/>
    <mergeCell ref="N5:O5"/>
    <mergeCell ref="A35:M35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4" workbookViewId="0">
      <selection activeCell="N18" sqref="N18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29" t="s">
        <v>35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88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66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v>5.98</v>
      </c>
      <c r="O16" s="50">
        <v>0</v>
      </c>
      <c r="P16" s="50">
        <f>N16-O16+M16</f>
        <v>532.32000000000005</v>
      </c>
      <c r="Q16" s="50">
        <f>K16+P16</f>
        <v>532.32000000000005</v>
      </c>
    </row>
    <row r="17" spans="1:17" ht="105">
      <c r="A17" s="61" t="s">
        <v>51</v>
      </c>
      <c r="B17" s="29" t="s">
        <v>24</v>
      </c>
      <c r="C17" s="30" t="s">
        <v>62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/>
      <c r="K17" s="36">
        <f>H17-J17+I17</f>
        <v>614000</v>
      </c>
      <c r="L17" s="69">
        <f>8.25*1/3</f>
        <v>2.75</v>
      </c>
      <c r="M17" s="50">
        <v>1621.62</v>
      </c>
      <c r="N17" s="50">
        <f>1635.44+2045.35</f>
        <v>3680.79</v>
      </c>
      <c r="O17" s="50">
        <v>0</v>
      </c>
      <c r="P17" s="50">
        <f>N17-O17+M17</f>
        <v>5302.41</v>
      </c>
      <c r="Q17" s="50">
        <f>K17+P17</f>
        <v>619302.41</v>
      </c>
    </row>
    <row r="18" spans="1:17" ht="105">
      <c r="A18" s="61"/>
      <c r="B18" s="29" t="s">
        <v>24</v>
      </c>
      <c r="C18" s="30" t="s">
        <v>83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/>
      <c r="K18" s="36">
        <f>H18-J18+I18</f>
        <v>1500000</v>
      </c>
      <c r="L18" s="69">
        <v>2.75</v>
      </c>
      <c r="M18" s="50">
        <v>1017.12</v>
      </c>
      <c r="N18" s="50">
        <f>3503.42+4837.32</f>
        <v>8340.74</v>
      </c>
      <c r="O18" s="50"/>
      <c r="P18" s="50">
        <f>N18-O18+M18</f>
        <v>9357.86</v>
      </c>
      <c r="Q18" s="50">
        <f>K18+P18</f>
        <v>1509357.86</v>
      </c>
    </row>
    <row r="19" spans="1:17" ht="15">
      <c r="A19" s="44" t="s">
        <v>15</v>
      </c>
      <c r="B19" s="45"/>
      <c r="C19" s="30"/>
      <c r="D19" s="31"/>
      <c r="E19" s="47">
        <f>E16+E17</f>
        <v>800000</v>
      </c>
      <c r="F19" s="47"/>
      <c r="G19" s="47"/>
      <c r="H19" s="47">
        <f>H16+H17+H18</f>
        <v>2114000</v>
      </c>
      <c r="I19" s="47">
        <f>I18</f>
        <v>0</v>
      </c>
      <c r="J19" s="47">
        <f>J16+J17</f>
        <v>0</v>
      </c>
      <c r="K19" s="47">
        <f>K16+K17+K18</f>
        <v>2114000</v>
      </c>
      <c r="L19" s="47"/>
      <c r="M19" s="47">
        <f>M16+M17+M18</f>
        <v>3165.08</v>
      </c>
      <c r="N19" s="47">
        <f>N16+N17+N18</f>
        <v>12027.51</v>
      </c>
      <c r="O19" s="47">
        <f>O16+O17+O18</f>
        <v>0</v>
      </c>
      <c r="P19" s="47">
        <f>P16+P17+P18</f>
        <v>15192.59</v>
      </c>
      <c r="Q19" s="47">
        <f>Q16+Q17+Q18</f>
        <v>2129192.59</v>
      </c>
    </row>
    <row r="20" spans="1:17" ht="15">
      <c r="A20" s="215" t="s">
        <v>21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0">I22+I23+I24</f>
        <v>0</v>
      </c>
      <c r="J25" s="36">
        <f t="shared" si="0"/>
        <v>0</v>
      </c>
      <c r="K25" s="36">
        <f t="shared" si="0"/>
        <v>0</v>
      </c>
      <c r="L25" s="36"/>
      <c r="M25" s="36">
        <f t="shared" si="0"/>
        <v>0</v>
      </c>
      <c r="N25" s="50">
        <f t="shared" si="0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2114000</v>
      </c>
      <c r="I29" s="57">
        <f>I19+I25</f>
        <v>0</v>
      </c>
      <c r="J29" s="56">
        <f>J19+J25</f>
        <v>0</v>
      </c>
      <c r="K29" s="56">
        <f>K19+K25</f>
        <v>2114000</v>
      </c>
      <c r="L29" s="58"/>
      <c r="M29" s="57">
        <v>371.58</v>
      </c>
      <c r="N29" s="56">
        <f>N19+N25</f>
        <v>12027.51</v>
      </c>
      <c r="O29" s="56">
        <f>O19+O25</f>
        <v>0</v>
      </c>
      <c r="P29" s="56">
        <f>P19+P25</f>
        <v>15192.59</v>
      </c>
      <c r="Q29" s="56">
        <f>Q19+Q25</f>
        <v>2129192.59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207" t="s">
        <v>53</v>
      </c>
      <c r="C32" s="208"/>
      <c r="D32" s="208"/>
      <c r="E32" s="209"/>
      <c r="F32" s="210"/>
      <c r="G32" s="210"/>
      <c r="H32" s="211"/>
      <c r="I32" s="212"/>
      <c r="J32" s="212"/>
      <c r="K32" s="212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207" t="s">
        <v>73</v>
      </c>
      <c r="C35" s="213"/>
      <c r="D35" s="213"/>
      <c r="E35" s="213"/>
      <c r="F35" s="213"/>
      <c r="G35" s="213"/>
      <c r="H35" s="213"/>
      <c r="I35" s="213"/>
      <c r="J35" s="213"/>
      <c r="K35" s="213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5.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A1:Q1"/>
    <mergeCell ref="D2:K2"/>
    <mergeCell ref="N3:O3"/>
    <mergeCell ref="F5:J5"/>
    <mergeCell ref="A29:F29"/>
    <mergeCell ref="B32:K32"/>
    <mergeCell ref="B35:K35"/>
    <mergeCell ref="A10:M10"/>
    <mergeCell ref="A13:M13"/>
    <mergeCell ref="A20:M20"/>
    <mergeCell ref="A26:M26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" workbookViewId="0">
      <selection activeCell="N18" sqref="N18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89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63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v>14000</v>
      </c>
      <c r="K16" s="36">
        <f>H16-J16+I16</f>
        <v>192000</v>
      </c>
      <c r="L16" s="69">
        <v>2.75</v>
      </c>
      <c r="M16" s="50">
        <v>510.97</v>
      </c>
      <c r="N16" s="50">
        <f>500.12+752.48</f>
        <v>1252.5999999999999</v>
      </c>
      <c r="O16" s="50">
        <v>510.97</v>
      </c>
      <c r="P16" s="50">
        <f>M16+N16-O16</f>
        <v>1252.5999999999999</v>
      </c>
      <c r="Q16" s="50">
        <f>K16+P16</f>
        <v>193252.6</v>
      </c>
    </row>
    <row r="17" spans="1:17" ht="105">
      <c r="A17" s="28"/>
      <c r="B17" s="29" t="s">
        <v>24</v>
      </c>
      <c r="C17" s="30" t="s">
        <v>82</v>
      </c>
      <c r="D17" s="31" t="s">
        <v>32</v>
      </c>
      <c r="E17" s="47">
        <v>700000</v>
      </c>
      <c r="F17" s="48">
        <v>43459</v>
      </c>
      <c r="G17" s="206"/>
      <c r="H17" s="36">
        <v>700000</v>
      </c>
      <c r="I17" s="36">
        <v>0</v>
      </c>
      <c r="J17" s="36"/>
      <c r="K17" s="36">
        <f>H17-J17+I17</f>
        <v>700000</v>
      </c>
      <c r="L17" s="69">
        <v>2.75</v>
      </c>
      <c r="M17" s="50">
        <v>474.66</v>
      </c>
      <c r="N17" s="50">
        <f>1634.93+2263.33</f>
        <v>3898.26</v>
      </c>
      <c r="O17" s="50">
        <v>474.66</v>
      </c>
      <c r="P17" s="50">
        <f>M17+N17-O17</f>
        <v>3898.26</v>
      </c>
      <c r="Q17" s="50">
        <f>K17+P17</f>
        <v>703898.26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906000</v>
      </c>
      <c r="I20" s="47">
        <v>0</v>
      </c>
      <c r="J20" s="47">
        <f>J16+J18+J19</f>
        <v>14000</v>
      </c>
      <c r="K20" s="47">
        <f t="shared" ref="K20:Q20" si="0">K16+K18+K19+K17</f>
        <v>892000</v>
      </c>
      <c r="L20" s="47">
        <f t="shared" si="0"/>
        <v>5.5</v>
      </c>
      <c r="M20" s="47">
        <f t="shared" si="0"/>
        <v>985.63000000000011</v>
      </c>
      <c r="N20" s="47">
        <f t="shared" si="0"/>
        <v>5150.8600000000006</v>
      </c>
      <c r="O20" s="47">
        <f t="shared" si="0"/>
        <v>985.63000000000011</v>
      </c>
      <c r="P20" s="47">
        <f t="shared" si="0"/>
        <v>5150.8600000000006</v>
      </c>
      <c r="Q20" s="47">
        <f t="shared" si="0"/>
        <v>897150.86</v>
      </c>
    </row>
    <row r="21" spans="1:17" ht="15">
      <c r="A21" s="215" t="s">
        <v>21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1">I23+I24+I25</f>
        <v>0</v>
      </c>
      <c r="J26" s="36">
        <f t="shared" si="1"/>
        <v>0</v>
      </c>
      <c r="K26" s="36">
        <f t="shared" si="1"/>
        <v>0</v>
      </c>
      <c r="L26" s="36"/>
      <c r="M26" s="36">
        <f t="shared" si="1"/>
        <v>0</v>
      </c>
      <c r="N26" s="50">
        <f t="shared" si="1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7" t="s">
        <v>17</v>
      </c>
      <c r="B30" s="218"/>
      <c r="C30" s="219"/>
      <c r="D30" s="219"/>
      <c r="E30" s="219"/>
      <c r="F30" s="220"/>
      <c r="G30" s="23"/>
      <c r="H30" s="57">
        <f>H20+H26</f>
        <v>906000</v>
      </c>
      <c r="I30" s="57">
        <f>I20+I26</f>
        <v>0</v>
      </c>
      <c r="J30" s="56">
        <f>J20+J26</f>
        <v>14000</v>
      </c>
      <c r="K30" s="56">
        <f>K20+K26</f>
        <v>892000</v>
      </c>
      <c r="L30" s="58"/>
      <c r="M30" s="57">
        <f>M20</f>
        <v>985.63000000000011</v>
      </c>
      <c r="N30" s="56">
        <f>N20+N26</f>
        <v>5150.8600000000006</v>
      </c>
      <c r="O30" s="56">
        <f>O20+O26</f>
        <v>985.63000000000011</v>
      </c>
      <c r="P30" s="56">
        <f>P20+P26</f>
        <v>5150.8600000000006</v>
      </c>
      <c r="Q30" s="56">
        <f>Q20+Q26</f>
        <v>897150.86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7" t="s">
        <v>55</v>
      </c>
      <c r="C33" s="208"/>
      <c r="D33" s="208"/>
      <c r="E33" s="209"/>
      <c r="F33" s="210"/>
      <c r="G33" s="210"/>
      <c r="H33" s="211"/>
      <c r="I33" s="212"/>
      <c r="J33" s="212"/>
      <c r="K33" s="212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7" t="s">
        <v>74</v>
      </c>
      <c r="C36" s="213"/>
      <c r="D36" s="213"/>
      <c r="E36" s="213"/>
      <c r="F36" s="213"/>
      <c r="G36" s="213"/>
      <c r="H36" s="213"/>
      <c r="I36" s="213"/>
      <c r="J36" s="213"/>
      <c r="K36" s="213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A1:Q1"/>
    <mergeCell ref="D2:K2"/>
    <mergeCell ref="N3:O3"/>
    <mergeCell ref="F5:J5"/>
    <mergeCell ref="A30:F30"/>
    <mergeCell ref="B36:K36"/>
    <mergeCell ref="A10:M10"/>
    <mergeCell ref="A13:M13"/>
    <mergeCell ref="A21:M21"/>
    <mergeCell ref="A27:M27"/>
    <mergeCell ref="B33:K33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6" sqref="N1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2" t="s">
        <v>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  <c r="P1" s="234"/>
      <c r="Q1" s="234"/>
    </row>
    <row r="2" spans="1:17" ht="20.25">
      <c r="A2" s="74"/>
      <c r="B2" s="75"/>
      <c r="C2" s="75"/>
      <c r="D2" s="235" t="s">
        <v>87</v>
      </c>
      <c r="E2" s="236"/>
      <c r="F2" s="236"/>
      <c r="G2" s="236"/>
      <c r="H2" s="236"/>
      <c r="I2" s="236"/>
      <c r="J2" s="236"/>
      <c r="K2" s="236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37" t="s">
        <v>22</v>
      </c>
      <c r="O3" s="237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38"/>
      <c r="G5" s="238"/>
      <c r="H5" s="238"/>
      <c r="I5" s="238"/>
      <c r="J5" s="238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83.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9" t="s">
        <v>19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64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v>0</v>
      </c>
      <c r="K15" s="97">
        <f>H15-J15+I15</f>
        <v>171000</v>
      </c>
      <c r="L15" s="107">
        <v>2.75</v>
      </c>
      <c r="M15" s="107">
        <v>939.82</v>
      </c>
      <c r="N15" s="107">
        <f>543.8+678.63</f>
        <v>1222.4299999999998</v>
      </c>
      <c r="O15" s="107">
        <v>0</v>
      </c>
      <c r="P15" s="107">
        <f>M15+N15-O15</f>
        <v>2162.25</v>
      </c>
      <c r="Q15" s="107">
        <f>K15+P15</f>
        <v>173162.25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171000</v>
      </c>
      <c r="I18" s="103">
        <f t="shared" si="0"/>
        <v>0</v>
      </c>
      <c r="J18" s="103">
        <f t="shared" si="0"/>
        <v>0</v>
      </c>
      <c r="K18" s="103">
        <f t="shared" si="0"/>
        <v>171000</v>
      </c>
      <c r="L18" s="103"/>
      <c r="M18" s="103">
        <f t="shared" si="0"/>
        <v>939.82</v>
      </c>
      <c r="N18" s="103">
        <f t="shared" si="0"/>
        <v>1222.4299999999998</v>
      </c>
      <c r="O18" s="103">
        <f t="shared" si="0"/>
        <v>0</v>
      </c>
      <c r="P18" s="103">
        <f t="shared" si="0"/>
        <v>2162.25</v>
      </c>
      <c r="Q18" s="103">
        <f t="shared" si="0"/>
        <v>173162.25</v>
      </c>
    </row>
    <row r="19" spans="1:17" ht="20.25">
      <c r="A19" s="239" t="s">
        <v>21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39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47" t="s">
        <v>17</v>
      </c>
      <c r="B28" s="248"/>
      <c r="C28" s="249"/>
      <c r="D28" s="249"/>
      <c r="E28" s="249"/>
      <c r="F28" s="250"/>
      <c r="G28" s="118"/>
      <c r="H28" s="119">
        <f>H18+H24</f>
        <v>171000</v>
      </c>
      <c r="I28" s="119">
        <f>I18+I24</f>
        <v>0</v>
      </c>
      <c r="J28" s="120">
        <f>J18+J24</f>
        <v>0</v>
      </c>
      <c r="K28" s="120">
        <f>K18+K24</f>
        <v>171000</v>
      </c>
      <c r="L28" s="121"/>
      <c r="M28" s="119">
        <f>M18</f>
        <v>939.82</v>
      </c>
      <c r="N28" s="120">
        <f>N18+N24</f>
        <v>1222.4299999999998</v>
      </c>
      <c r="O28" s="120">
        <f>O18+O24</f>
        <v>0</v>
      </c>
      <c r="P28" s="107">
        <f>M28+N28-O28</f>
        <v>2162.25</v>
      </c>
      <c r="Q28" s="120">
        <f>Q18+Q24</f>
        <v>173162.25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41" t="s">
        <v>52</v>
      </c>
      <c r="C31" s="251"/>
      <c r="D31" s="251"/>
      <c r="E31" s="252"/>
      <c r="F31" s="253"/>
      <c r="G31" s="253"/>
      <c r="H31" s="254"/>
      <c r="I31" s="242"/>
      <c r="J31" s="242"/>
      <c r="K31" s="242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41" t="s">
        <v>75</v>
      </c>
      <c r="C34" s="242"/>
      <c r="D34" s="242"/>
      <c r="E34" s="242"/>
      <c r="F34" s="242"/>
      <c r="G34" s="242"/>
      <c r="H34" s="242"/>
      <c r="I34" s="242"/>
      <c r="J34" s="242"/>
      <c r="K34" s="242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29" t="s">
        <v>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55"/>
      <c r="P1" s="255"/>
      <c r="Q1" s="255"/>
    </row>
    <row r="2" spans="1:17" ht="18.75">
      <c r="A2" s="130"/>
      <c r="B2" s="131"/>
      <c r="C2" s="131"/>
      <c r="D2" s="256" t="s">
        <v>87</v>
      </c>
      <c r="E2" s="257"/>
      <c r="F2" s="257"/>
      <c r="G2" s="257"/>
      <c r="H2" s="257"/>
      <c r="I2" s="257"/>
      <c r="J2" s="257"/>
      <c r="K2" s="257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58" t="s">
        <v>22</v>
      </c>
      <c r="O3" s="258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59"/>
      <c r="G5" s="259"/>
      <c r="H5" s="259"/>
      <c r="I5" s="259"/>
      <c r="J5" s="259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206.2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206.25">
      <c r="A15" s="146">
        <v>2</v>
      </c>
      <c r="B15" s="147" t="s">
        <v>24</v>
      </c>
      <c r="C15" s="148" t="s">
        <v>65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f>1170.32+1685.31</f>
        <v>2855.63</v>
      </c>
      <c r="O15" s="163">
        <v>0</v>
      </c>
      <c r="P15" s="163">
        <f>N15-O15+M15</f>
        <v>4340.8600000000006</v>
      </c>
      <c r="Q15" s="163">
        <f>K15+M15+N15-O15</f>
        <v>463340.86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459000</v>
      </c>
      <c r="I18" s="159"/>
      <c r="J18" s="159">
        <f t="shared" ref="J18:Q18" si="0">J15+J16+J17</f>
        <v>0</v>
      </c>
      <c r="K18" s="159">
        <f t="shared" si="0"/>
        <v>459000</v>
      </c>
      <c r="L18" s="159">
        <f t="shared" si="0"/>
        <v>2.75</v>
      </c>
      <c r="M18" s="159">
        <f t="shared" si="0"/>
        <v>1485.23</v>
      </c>
      <c r="N18" s="159">
        <f t="shared" si="0"/>
        <v>2855.63</v>
      </c>
      <c r="O18" s="159">
        <f t="shared" si="0"/>
        <v>0</v>
      </c>
      <c r="P18" s="159">
        <f t="shared" si="0"/>
        <v>4340.8600000000006</v>
      </c>
      <c r="Q18" s="159">
        <f t="shared" si="0"/>
        <v>463340.86</v>
      </c>
    </row>
    <row r="19" spans="1:17" ht="18.75">
      <c r="A19" s="260" t="s">
        <v>21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8" t="s">
        <v>17</v>
      </c>
      <c r="B28" s="269"/>
      <c r="C28" s="270"/>
      <c r="D28" s="270"/>
      <c r="E28" s="270"/>
      <c r="F28" s="271"/>
      <c r="G28" s="174"/>
      <c r="H28" s="175">
        <f>H18+H24</f>
        <v>459000</v>
      </c>
      <c r="I28" s="175">
        <f>I18+I24</f>
        <v>0</v>
      </c>
      <c r="J28" s="176">
        <f>J18+J24</f>
        <v>0</v>
      </c>
      <c r="K28" s="176">
        <f>K18+K24</f>
        <v>459000</v>
      </c>
      <c r="L28" s="58"/>
      <c r="M28" s="175">
        <f>M18</f>
        <v>1485.23</v>
      </c>
      <c r="N28" s="176">
        <f>N18+N24</f>
        <v>2855.63</v>
      </c>
      <c r="O28" s="176">
        <f>O18+O24</f>
        <v>0</v>
      </c>
      <c r="P28" s="176">
        <f>P18+P24</f>
        <v>4340.8600000000006</v>
      </c>
      <c r="Q28" s="176">
        <f>K28+P28</f>
        <v>463340.86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2" t="s">
        <v>52</v>
      </c>
      <c r="C31" s="272"/>
      <c r="D31" s="272"/>
      <c r="E31" s="273"/>
      <c r="F31" s="274"/>
      <c r="G31" s="274"/>
      <c r="H31" s="275"/>
      <c r="I31" s="263"/>
      <c r="J31" s="263"/>
      <c r="K31" s="263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2" t="s">
        <v>76</v>
      </c>
      <c r="C34" s="263"/>
      <c r="D34" s="263"/>
      <c r="E34" s="263"/>
      <c r="F34" s="263"/>
      <c r="G34" s="263"/>
      <c r="H34" s="263"/>
      <c r="I34" s="263"/>
      <c r="J34" s="263"/>
      <c r="K34" s="263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77</v>
      </c>
      <c r="J36" s="1"/>
      <c r="K36" s="1"/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29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55"/>
      <c r="P1" s="255"/>
      <c r="Q1" s="255"/>
    </row>
    <row r="2" spans="1:17" ht="18.75">
      <c r="A2" s="130"/>
      <c r="B2" s="131"/>
      <c r="C2" s="131"/>
      <c r="D2" s="256" t="s">
        <v>90</v>
      </c>
      <c r="E2" s="257"/>
      <c r="F2" s="257"/>
      <c r="G2" s="257"/>
      <c r="H2" s="257"/>
      <c r="I2" s="257"/>
      <c r="J2" s="257"/>
      <c r="K2" s="257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58" t="s">
        <v>22</v>
      </c>
      <c r="O3" s="258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59"/>
      <c r="G5" s="259"/>
      <c r="H5" s="259"/>
      <c r="I5" s="259"/>
      <c r="J5" s="259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v>0</v>
      </c>
      <c r="K15" s="153">
        <f>H15-J15+I15</f>
        <v>211230</v>
      </c>
      <c r="L15" s="163">
        <v>2.75</v>
      </c>
      <c r="M15" s="163">
        <v>536.63</v>
      </c>
      <c r="N15" s="163">
        <f>567.43+709.77</f>
        <v>1277.1999999999998</v>
      </c>
      <c r="O15" s="163">
        <v>0</v>
      </c>
      <c r="P15" s="163">
        <f>N15-O15+M15</f>
        <v>1813.83</v>
      </c>
      <c r="Q15" s="163">
        <f>K15+P15</f>
        <v>213043.83</v>
      </c>
    </row>
    <row r="16" spans="1:17" ht="156">
      <c r="A16" s="146">
        <v>3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v>0</v>
      </c>
      <c r="K16" s="153">
        <f>H16-J16+I16</f>
        <v>261435</v>
      </c>
      <c r="L16" s="163">
        <v>2.75</v>
      </c>
      <c r="M16" s="163">
        <v>655.79</v>
      </c>
      <c r="N16" s="163">
        <f>688.77+861.51</f>
        <v>1550.28</v>
      </c>
      <c r="O16" s="163">
        <v>0</v>
      </c>
      <c r="P16" s="163">
        <f>N16-O16+M16</f>
        <v>2206.0699999999997</v>
      </c>
      <c r="Q16" s="163">
        <f>K16+P16</f>
        <v>263641.07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472665</v>
      </c>
      <c r="I18" s="159"/>
      <c r="J18" s="159">
        <f t="shared" si="0"/>
        <v>0</v>
      </c>
      <c r="K18" s="159">
        <f t="shared" si="0"/>
        <v>472665</v>
      </c>
      <c r="L18" s="159"/>
      <c r="M18" s="159">
        <f t="shared" si="0"/>
        <v>1192.42</v>
      </c>
      <c r="N18" s="159">
        <f t="shared" si="0"/>
        <v>2827.4799999999996</v>
      </c>
      <c r="O18" s="159">
        <f t="shared" si="0"/>
        <v>0</v>
      </c>
      <c r="P18" s="159">
        <f t="shared" si="0"/>
        <v>4019.8999999999996</v>
      </c>
      <c r="Q18" s="159">
        <f t="shared" si="0"/>
        <v>476684.9</v>
      </c>
    </row>
    <row r="19" spans="1:17" ht="18.75">
      <c r="A19" s="260" t="s">
        <v>21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8" t="s">
        <v>17</v>
      </c>
      <c r="B28" s="269"/>
      <c r="C28" s="270"/>
      <c r="D28" s="270"/>
      <c r="E28" s="270"/>
      <c r="F28" s="271"/>
      <c r="G28" s="174"/>
      <c r="H28" s="175">
        <f>H18+H24</f>
        <v>472665</v>
      </c>
      <c r="I28" s="175">
        <f>I18+I24</f>
        <v>0</v>
      </c>
      <c r="J28" s="176">
        <f>J18+J24</f>
        <v>0</v>
      </c>
      <c r="K28" s="176">
        <f>K18+K24</f>
        <v>472665</v>
      </c>
      <c r="L28" s="58"/>
      <c r="M28" s="176">
        <f>M18+M24</f>
        <v>1192.42</v>
      </c>
      <c r="N28" s="176">
        <f>N18+N24</f>
        <v>2827.4799999999996</v>
      </c>
      <c r="O28" s="176">
        <f>O18+O24</f>
        <v>0</v>
      </c>
      <c r="P28" s="176">
        <f>P18+P24</f>
        <v>4019.8999999999996</v>
      </c>
      <c r="Q28" s="176">
        <f>Q18+Q24</f>
        <v>476684.9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2" t="s">
        <v>61</v>
      </c>
      <c r="C31" s="272"/>
      <c r="D31" s="272"/>
      <c r="E31" s="273"/>
      <c r="F31" s="274"/>
      <c r="G31" s="274"/>
      <c r="H31" s="275"/>
      <c r="I31" s="263"/>
      <c r="J31" s="263"/>
      <c r="K31" s="263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2" t="s">
        <v>74</v>
      </c>
      <c r="C34" s="263"/>
      <c r="D34" s="263"/>
      <c r="E34" s="263"/>
      <c r="F34" s="263"/>
      <c r="G34" s="263"/>
      <c r="H34" s="263"/>
      <c r="I34" s="263"/>
      <c r="J34" s="263"/>
      <c r="K34" s="263"/>
      <c r="L34" s="130"/>
      <c r="M34" s="130"/>
      <c r="N34" s="130"/>
      <c r="O34" s="130"/>
      <c r="P34" s="130"/>
      <c r="Q34" s="130"/>
    </row>
    <row r="36" spans="1:17">
      <c r="B36" t="s">
        <v>59</v>
      </c>
      <c r="J36" t="s">
        <v>60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" right="0.7" top="0.75" bottom="0.75" header="0.3" footer="0.3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tabSelected="1" view="pageBreakPreview" zoomScale="60" zoomScaleNormal="100" workbookViewId="0">
      <selection activeCell="D2" sqref="D2:K2"/>
    </sheetView>
  </sheetViews>
  <sheetFormatPr defaultRowHeight="12.75"/>
  <cols>
    <col min="1" max="1" width="1.140625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32" t="s">
        <v>70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  <c r="P1" s="234"/>
      <c r="Q1" s="234"/>
    </row>
    <row r="2" spans="1:17" ht="20.25">
      <c r="A2" s="74"/>
      <c r="B2" s="75"/>
      <c r="C2" s="75"/>
      <c r="D2" s="276" t="s">
        <v>91</v>
      </c>
      <c r="E2" s="277"/>
      <c r="F2" s="277"/>
      <c r="G2" s="277"/>
      <c r="H2" s="277"/>
      <c r="I2" s="277"/>
      <c r="J2" s="277"/>
      <c r="K2" s="277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37" t="s">
        <v>22</v>
      </c>
      <c r="O3" s="237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38"/>
      <c r="G5" s="238"/>
      <c r="H5" s="238"/>
      <c r="I5" s="238"/>
      <c r="J5" s="238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9" t="s">
        <v>19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>
        <v>2</v>
      </c>
      <c r="B16" s="91" t="s">
        <v>24</v>
      </c>
      <c r="C16" s="92" t="s">
        <v>63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Лист2!H19+Лист3!H30+Лист4!H28+Лист5!H28+Лист6!H28</f>
        <v>4122665</v>
      </c>
      <c r="I16" s="97">
        <f>Лист2!I19+Лист3!I30+Лист4!I28+Лист5!I28+Лист6!I28</f>
        <v>0</v>
      </c>
      <c r="J16" s="97">
        <f>Лист2!J19+Лист3!J30+Лист4!J28+Лист5!J28+Лист6!J28</f>
        <v>14000</v>
      </c>
      <c r="K16" s="97">
        <f>Лист2!K19+Лист3!K30+Лист4!K28+Лист5!K28+Лист6!K28</f>
        <v>4108665</v>
      </c>
      <c r="L16" s="97">
        <f>Лист2!L19+Лист3!L30+Лист4!L28+Лист5!L28+Лист6!L28</f>
        <v>0</v>
      </c>
      <c r="M16" s="107">
        <f>Лист2!M19+Лист3!M30+Лист4!M28+Лист5!M28+Лист6!M28</f>
        <v>7768.18</v>
      </c>
      <c r="N16" s="107">
        <f>Лист2!N19+Лист3!N30+Лист4!N28+Лист5!N28+Лист6!N28</f>
        <v>24083.910000000003</v>
      </c>
      <c r="O16" s="107">
        <f>Лист2!O19+Лист3!O30+Лист4!O28+Лист5!O28+Лист6!O28</f>
        <v>985.63000000000011</v>
      </c>
      <c r="P16" s="107">
        <f>M16+N16-O16</f>
        <v>30866.460000000003</v>
      </c>
      <c r="Q16" s="107">
        <f>K16+P16</f>
        <v>4139531.46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0</v>
      </c>
      <c r="J19" s="103">
        <f t="shared" si="0"/>
        <v>14000</v>
      </c>
      <c r="K19" s="103">
        <f t="shared" si="0"/>
        <v>4108665</v>
      </c>
      <c r="L19" s="103">
        <f t="shared" si="0"/>
        <v>0</v>
      </c>
      <c r="M19" s="103">
        <f t="shared" si="0"/>
        <v>7768.18</v>
      </c>
      <c r="N19" s="103">
        <f t="shared" si="0"/>
        <v>24083.910000000003</v>
      </c>
      <c r="O19" s="103">
        <f t="shared" si="0"/>
        <v>985.63000000000011</v>
      </c>
      <c r="P19" s="103">
        <f t="shared" si="0"/>
        <v>30866.460000000003</v>
      </c>
      <c r="Q19" s="103">
        <f t="shared" si="0"/>
        <v>4139531.46</v>
      </c>
    </row>
    <row r="20" spans="1:17" ht="20.25">
      <c r="A20" s="239" t="s">
        <v>21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39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4122665</v>
      </c>
      <c r="I29" s="57">
        <f>I19+I25</f>
        <v>0</v>
      </c>
      <c r="J29" s="56">
        <f>J19+J25</f>
        <v>14000</v>
      </c>
      <c r="K29" s="56">
        <f>K19+K25</f>
        <v>4108665</v>
      </c>
      <c r="L29" s="58"/>
      <c r="M29" s="56">
        <f>M19+M25</f>
        <v>7768.18</v>
      </c>
      <c r="N29" s="56">
        <f>N19+N25</f>
        <v>24083.910000000003</v>
      </c>
      <c r="O29" s="56">
        <f>O19+O25</f>
        <v>985.63000000000011</v>
      </c>
      <c r="P29" s="56">
        <f>P19+P25</f>
        <v>30866.460000000003</v>
      </c>
      <c r="Q29" s="56">
        <f>Q19+Q25</f>
        <v>4139531.46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2016-01-11T09:40:54Z</cp:lastPrinted>
  <dcterms:created xsi:type="dcterms:W3CDTF">2006-06-05T06:40:26Z</dcterms:created>
  <dcterms:modified xsi:type="dcterms:W3CDTF">2016-03-29T08:17:01Z</dcterms:modified>
</cp:coreProperties>
</file>